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e74b1581846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dede5cebe2f040cb"/>
    <x:sheet xmlns:r="http://schemas.openxmlformats.org/officeDocument/2006/relationships" name="Setup" sheetId="2" r:id="R50c505ab94f64054"/>
    <x:sheet xmlns:r="http://schemas.openxmlformats.org/officeDocument/2006/relationships" name="Processes" sheetId="3" r:id="R5731653640b843e3"/>
    <x:sheet xmlns:r="http://schemas.openxmlformats.org/officeDocument/2006/relationships" name="Staffing" sheetId="4" r:id="Rde0c31ac301f4048"/>
    <x:sheet xmlns:r="http://schemas.openxmlformats.org/officeDocument/2006/relationships" name="Demand" sheetId="5" r:id="R16f59ab77a204bb0"/>
    <x:sheet xmlns:r="http://schemas.openxmlformats.org/officeDocument/2006/relationships" name="Capacity" sheetId="6" r:id="R8b24fdc6e94c4e7c"/>
    <x:sheet xmlns:r="http://schemas.openxmlformats.org/officeDocument/2006/relationships" name="Base" sheetId="7" r:id="R47f1772ec629447e"/>
    <x:sheet xmlns:r="http://schemas.openxmlformats.org/officeDocument/2006/relationships" name="Upside" sheetId="8" r:id="Rffd296bcdaa14184"/>
    <x:sheet xmlns:r="http://schemas.openxmlformats.org/officeDocument/2006/relationships" name="Disruption" sheetId="9" r:id="R029f33cf955c43e2"/>
    <x:sheet xmlns:r="http://schemas.openxmlformats.org/officeDocument/2006/relationships" name="Method" sheetId="10" r:id="Rf0f023f5867341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yyyy-mm-dd"/>
    <x:numFmt numFmtId="201" formatCode="0%"/>
    <x:numFmt numFmtId="202" formatCode="0.00"/>
    <x:numFmt numFmtId="203" formatCode="&quot;$&quot;0.00"/>
    <x:numFmt numFmtId="204" formatCode="0.0"/>
    <x:numFmt numFmtId="205" formatCode="0"/>
    <x:numFmt numFmtId="206" formatCode="mmm d"/>
    <x:numFmt numFmtId="207" formatCode="ddd, mmm d"/>
    <x:numFmt numFmtId="208" formatCode="#,##0"/>
    <x:numFmt numFmtId="209" formatCode="#,##0.0"/>
    <x:numFmt numFmtId="210" formatCode="&quot;$&quot;#,##0"/>
  </x:numFmts>
  <x:fonts count="6">
    <x:font>
      <x:sz val="11"/>
      <x:name val="Carlito"/>
    </x:font>
    <x:font>
      <x:sz val="10"/>
      <x:color rgb="FF192E42"/>
      <x:name val="Arial"/>
    </x:font>
    <x:font>
      <x:b/>
      <x:sz val="18"/>
      <x:color rgb="FF192E42"/>
      <x:name val="Arial"/>
    </x:font>
    <x:font>
      <x:i/>
      <x:sz val="10"/>
      <x:color rgb="FF52657A"/>
      <x:name val="Arial"/>
    </x:font>
    <x:font>
      <x:b/>
      <x:sz val="10"/>
      <x:color rgb="FFFFFFFF"/>
      <x:name val="Arial"/>
    </x:font>
    <x:font>
      <x:sz val="10"/>
      <x:color rgb="FF1D4ED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03B53"/>
      </x:patternFill>
    </x:fill>
    <x:fill>
      <x:patternFill patternType="solid">
        <x:fgColor rgb="FFFFF2CC"/>
      </x:patternFill>
    </x:fill>
  </x:fills>
  <x:borders count="2">
    <x:border/>
    <x:border>
      <x:bottom style="thin">
        <x:color rgb="FFAAB8C5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200" fontId="5" fillId="3" borderId="0" xfId="0" applyNumberFormat="1" applyFont="1" applyFill="1" applyBorder="1"/>
    <x:xf numFmtId="201" fontId="5" fillId="3" borderId="0" xfId="0" applyNumberFormat="1" applyFont="1" applyFill="1" applyBorder="1"/>
    <x:xf numFmtId="202" fontId="5" fillId="3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2" fontId="5" fillId="3" borderId="0" xfId="0" applyNumberFormat="1" applyFont="1" applyFill="1" applyBorder="1" applyAlignment="1">
      <x:alignment wrapText="1"/>
    </x:xf>
    <x:xf numFmtId="203" fontId="5" fillId="3" borderId="0" xfId="0" applyNumberFormat="1" applyFont="1" applyFill="1" applyBorder="1"/>
    <x:xf numFmtId="204" fontId="5" fillId="3" borderId="0" xfId="0" applyNumberFormat="1" applyFont="1" applyFill="1" applyBorder="1"/>
    <x:xf numFmtId="205" fontId="5" fillId="3" borderId="0" xfId="0" applyNumberFormat="1" applyFont="1" applyFill="1" applyBorder="1"/>
    <x:xf numFmtId="206" fontId="1" fillId="0" borderId="0" xfId="0" applyNumberFormat="1" applyFont="1" applyFill="1" applyBorder="1"/>
    <x:xf numFmtId="207" fontId="1" fillId="0" borderId="0" xfId="0" applyNumberFormat="1" applyFont="1" applyFill="1" applyBorder="1"/>
    <x:xf numFmtId="208" fontId="5" fillId="3" borderId="0" xfId="0" applyNumberFormat="1" applyFont="1" applyFill="1" applyBorder="1"/>
    <x:xf numFmtId="209" fontId="1" fillId="0" borderId="0" xfId="0" applyNumberFormat="1" applyFont="1" applyFill="1" applyBorder="1"/>
    <x:xf numFmtId="201" fontId="1" fillId="0" borderId="0" xfId="0" applyNumberFormat="1" applyFont="1" applyFill="1" applyBorder="1"/>
    <x:xf numFmtId="208" fontId="1" fillId="0" borderId="0" xfId="0" applyNumberFormat="1" applyFont="1" applyFill="1" applyBorder="1"/>
    <x:xf numFmtId="210" fontId="1" fillId="0" borderId="0" xfId="0" applyNumberFormat="1" applyFont="1" applyFill="1" applyBorder="1"/>
  </x:cellXfs>
  <x:cellStyles count="1">
    <x:cellStyle name="Normal" xfId="0"/>
  </x:cellStyles>
  <x:dxfs count="13">
    <x:dxf>
      <x:font>
        <x:color rgb="FF9C321F"/>
      </x:font>
      <x:fill>
        <x:patternFill patternType="solid">
          <x:bgColor rgb="FFFDE8D9"/>
        </x:patternFill>
      </x:fill>
    </x:dxf>
    <x:dxf>
      <x:font>
        <x:color rgb="FF9C321F"/>
      </x:font>
      <x:fill>
        <x:patternFill patternType="solid">
          <x:bgColor rgb="FFFDE8D9"/>
        </x:patternFill>
      </x:fill>
    </x:dxf>
    <x:dxf>
      <x:font>
        <x:color rgb="FF9C321F"/>
      </x:font>
      <x:fill>
        <x:patternFill patternType="solid">
          <x:bgColor rgb="FFFDE8D9"/>
        </x:patternFill>
      </x:fill>
    </x:dxf>
    <x:dxf>
      <x:font>
        <x:color rgb="FF9C321F"/>
      </x:font>
      <x:fill>
        <x:patternFill patternType="solid">
          <x:bgColor rgb="FFFDE8D9"/>
        </x:patternFill>
      </x:fill>
    </x:dxf>
    <x:dxf>
      <x:font>
        <x:color rgb="FF9C321F"/>
      </x:font>
      <x:fill>
        <x:patternFill patternType="solid">
          <x:bgColor rgb="FFFDE8D9"/>
        </x:patternFill>
      </x:fill>
    </x:dxf>
    <x:dxf>
      <x:font>
        <x:color rgb="FF9C321F"/>
      </x:font>
      <x:fill>
        <x:patternFill patternType="solid">
          <x:bgColor rgb="FFFDE8D9"/>
        </x:patternFill>
      </x:fill>
    </x:dxf>
    <x:dxf>
      <x:font>
        <x:color rgb="FF9C321F"/>
      </x:font>
      <x:fill>
        <x:patternFill patternType="solid">
          <x:bgColor rgb="FFFDE8D9"/>
        </x:patternFill>
      </x:fill>
    </x:dxf>
    <x:dxf>
      <x:font>
        <x:color rgb="FF9C321F"/>
      </x:font>
      <x:fill>
        <x:patternFill patternType="solid">
          <x:bgColor rgb="FFFDE8D9"/>
        </x:patternFill>
      </x:fill>
    </x:dxf>
    <x:dxf>
      <x:font>
        <x:color rgb="FF9C321F"/>
      </x:font>
      <x:fill>
        <x:patternFill patternType="solid">
          <x:bgColor rgb="FFFDE8D9"/>
        </x:patternFill>
      </x:fill>
    </x:dxf>
    <x:dxf>
      <x:font>
        <x:color rgb="FF9C321F"/>
      </x:font>
      <x:fill>
        <x:patternFill patternType="solid">
          <x:bgColor rgb="FFFDE8D9"/>
        </x:patternFill>
      </x:fill>
    </x:dxf>
    <x:dxf>
      <x:font>
        <x:color rgb="FF9C321F"/>
      </x:font>
      <x:fill>
        <x:patternFill patternType="solid">
          <x:bgColor rgb="FFFDE8D9"/>
        </x:patternFill>
      </x:fill>
    </x:dxf>
    <x:dxf>
      <x:font>
        <x:color rgb="FF9C321F"/>
      </x:font>
      <x:fill>
        <x:patternFill patternType="solid">
          <x:bgColor rgb="FFFDE8D9"/>
        </x:patternFill>
      </x:fill>
    </x:dxf>
    <x:dxf>
      <x:font>
        <x:color rgb="FF9C321F"/>
      </x:font>
      <x:fill>
        <x:patternFill patternType="solid">
          <x:bgColor rgb="FFFDE8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dd36d8a670477f" /><Relationship Type="http://schemas.openxmlformats.org/officeDocument/2006/relationships/theme" Target="/xl/theme/theme1.xml" Id="Rcd8fb8a68b3242bb" /><Relationship Type="http://schemas.openxmlformats.org/officeDocument/2006/relationships/sharedStrings" Target="/xl/sharedStrings.xml" Id="R1f85f6b1cdfa43c5" /><Relationship Type="http://schemas.openxmlformats.org/officeDocument/2006/relationships/worksheet" Target="/xl/worksheets/sheet1.xml" Id="Rdede5cebe2f040cb" /><Relationship Type="http://schemas.openxmlformats.org/officeDocument/2006/relationships/worksheet" Target="/xl/worksheets/sheet2.xml" Id="R50c505ab94f64054" /><Relationship Type="http://schemas.openxmlformats.org/officeDocument/2006/relationships/worksheet" Target="/xl/worksheets/sheet3.xml" Id="R5731653640b843e3" /><Relationship Type="http://schemas.openxmlformats.org/officeDocument/2006/relationships/worksheet" Target="/xl/worksheets/sheet4.xml" Id="Rde0c31ac301f4048" /><Relationship Type="http://schemas.openxmlformats.org/officeDocument/2006/relationships/worksheet" Target="/xl/worksheets/sheet5.xml" Id="R16f59ab77a204bb0" /><Relationship Type="http://schemas.openxmlformats.org/officeDocument/2006/relationships/worksheet" Target="/xl/worksheets/sheet6.xml" Id="R8b24fdc6e94c4e7c" /><Relationship Type="http://schemas.openxmlformats.org/officeDocument/2006/relationships/worksheet" Target="/xl/worksheets/sheet7.xml" Id="R47f1772ec629447e" /><Relationship Type="http://schemas.openxmlformats.org/officeDocument/2006/relationships/worksheet" Target="/xl/worksheets/sheet8.xml" Id="Rffd296bcdaa14184" /><Relationship Type="http://schemas.openxmlformats.org/officeDocument/2006/relationships/worksheet" Target="/xl/worksheets/sheet9.xml" Id="R029f33cf955c43e2" /><Relationship Type="http://schemas.openxmlformats.org/officeDocument/2006/relationships/worksheet" Target="/xl/worksheets/sheet10.xml" Id="Rf0f023f5867341e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9ab7eebae4742d5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Week-end backlog (orders)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Base backlog</c:v>
          </c:tx>
          <c:marker>
            <c:symbol val="none"/>
          </c:marker>
          <c:cat>
            <c:strRef>
              <c:f>'Read me'!$A$16:$A$27</c:f>
              <c:strCache>
                <c:ptCount val="0"/>
              </c:strCache>
            </c:strRef>
          </c:cat>
          <c:val>
            <c:numRef>
              <c:f>'Read me'!$D$16:$D$27</c:f>
              <c:numCache>
                <c:formatCode>#,##0</c:formatCode>
                <c:ptCount val="0"/>
              </c:numCache>
            </c:numRef>
          </c:val>
          <c:smooth val="0"/>
        </c:ser>
        <c:ser>
          <c:idx val="1"/>
          <c:order val="1"/>
          <c:tx>
            <c:v>Upside backlog</c:v>
          </c:tx>
          <c:marker>
            <c:symbol val="none"/>
          </c:marker>
          <c:cat>
            <c:strRef>
              <c:f>'Read me'!$A$16:$A$27</c:f>
              <c:strCache>
                <c:ptCount val="0"/>
              </c:strCache>
            </c:strRef>
          </c:cat>
          <c:val>
            <c:numRef>
              <c:f>'Read me'!$E$16:$E$27</c:f>
              <c:numCache>
                <c:formatCode>#,##0</c:formatCode>
                <c:ptCount val="0"/>
              </c:numCache>
            </c:numRef>
          </c:val>
          <c:smooth val="0"/>
        </c:ser>
        <c:ser>
          <c:idx val="2"/>
          <c:order val="2"/>
          <c:tx>
            <c:v>Disruption backlog</c:v>
          </c:tx>
          <c:marker>
            <c:symbol val="none"/>
          </c:marker>
          <c:cat>
            <c:strRef>
              <c:f>'Read me'!$A$16:$A$27</c:f>
              <c:strCache>
                <c:ptCount val="0"/>
              </c:strCache>
            </c:strRef>
          </c:cat>
          <c:val>
            <c:numRef>
              <c:f>'Read me'!$F$16:$F$27</c:f>
              <c:numCache>
                <c:formatCode>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31</xdr:row>
      <xdr:rowOff>0</xdr:rowOff>
    </xdr:from>
    <xdr:to>
      <xdr:col>10</xdr:col>
      <xdr:colOff>0</xdr:colOff>
      <xdr:row>46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9ab7eebae4742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29decd6733644d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22" hidden="0" customWidth="1"/>
    <x:col min="7" max="7" width="22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31" customHeight="1">
      <x:c r="A1" s="2" t="str">
        <x:v>Peak Readiness</x:v>
      </x:c>
      <x:c r="B1" s="1"/>
      <x:c r="C1" s="1"/>
      <x:c r="D1" s="1"/>
      <x:c r="E1" s="1"/>
      <x:c r="F1" s="1"/>
      <x:c r="G1" s="1"/>
      <x:c r="H1" s="1"/>
      <x:c r="I1" s="1"/>
      <x:c r="J1" s="1"/>
    </x:row>
    <x:row r="2" ht="23" customHeight="1">
      <x:c r="A2" s="3" t="str">
        <x:v>DC Health Check • 12-week planning workbook • synthetic demonstration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3" customHeight="1">
      <x:c r="A4" s="1" t="str">
        <x:v>Start here</x:v>
      </x:c>
      <x:c r="B4" s="1"/>
      <x:c r="C4" s="1"/>
      <x:c r="D4" s="1"/>
      <x:c r="E4" s="1"/>
      <x:c r="F4" s="1"/>
      <x:c r="G4" s="1"/>
      <x:c r="H4" s="1"/>
      <x:c r="I4" s="1"/>
      <x:c r="J4" s="1"/>
    </x:row>
    <x:row r="5" ht="23" customHeight="1">
      <x:c r="A5" s="1" t="str">
        <x:v>Replace amber cells on Setup, Processes, Staffing and Demand, then review the three scenarios.</x:v>
      </x:c>
      <x:c r="B5" s="1"/>
      <x:c r="C5" s="1"/>
      <x:c r="D5" s="1"/>
      <x:c r="E5" s="1"/>
      <x:c r="F5" s="1"/>
      <x:c r="G5" s="1"/>
      <x:c r="H5" s="1"/>
      <x:c r="I5" s="1"/>
      <x:c r="J5" s="1"/>
    </x:row>
    <x:row r="6" ht="23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</x:row>
    <x:row r="7" ht="23" customHeight="1">
      <x:c r="A7" s="1" t="str">
        <x:f>IF('Setup'!B22&gt;0,"Correct inputs on Setup before interpreting results.","Synthetic example loaded. Confirm local inputs and constraints before making operating decisions.")</x:f>
        <x:v>Synthetic example loaded. Confirm local inputs and constraints before making operating decisions.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ht="23" customHeight="1">
      <x:c r="A8" s="1"/>
      <x:c r="B8" s="1"/>
      <x:c r="C8" s="1"/>
      <x:c r="D8" s="1"/>
      <x:c r="E8" s="1"/>
      <x:c r="F8" s="1"/>
      <x:c r="G8" s="1"/>
      <x:c r="H8" s="1"/>
      <x:c r="I8" s="1"/>
      <x:c r="J8" s="1"/>
    </x:row>
    <x:row r="9" ht="42" customHeight="1">
      <x:c r="A9" s="8" t="str">
        <x:v>Scenario</x:v>
      </x:c>
      <x:c r="B9" s="8" t="str">
        <x:v>Orders released</x:v>
      </x:c>
      <x:c r="C9" s="8" t="str">
        <x:v>Orders completed</x:v>
      </x:c>
      <x:c r="D9" s="8" t="str">
        <x:v>Final backlog</x:v>
      </x:c>
      <x:c r="E9" s="8" t="str">
        <x:v>Peak backlog</x:v>
      </x:c>
      <x:c r="F9" s="8" t="str">
        <x:v>Labor cost ($)</x:v>
      </x:c>
      <x:c r="G9" s="8" t="str">
        <x:v>Incremental cost ($)</x:v>
      </x:c>
      <x:c r="H9" s="8" t="str">
        <x:v>Open days</x:v>
      </x:c>
      <x:c r="I9" s="8" t="str">
        <x:v>Days over threshold</x:v>
      </x:c>
      <x:c r="J9" s="8" t="str"/>
    </x:row>
    <x:row r="10" ht="23" customHeight="1">
      <x:c r="A10" s="1" t="str">
        <x:v>Base</x:v>
      </x:c>
      <x:c r="B10" s="24" t="n">
        <x:f>IF('Setup'!B22&gt;0,"",SUM('Base'!D6:D89))</x:f>
        <x:v>562500</x:v>
      </x:c>
      <x:c r="C10" s="24" t="n">
        <x:f>IF('Setup'!B22&gt;0,"",SUM('Base'!K6:K89))</x:f>
        <x:v>446525</x:v>
      </x:c>
      <x:c r="D10" s="24" t="n">
        <x:f>IF('Setup'!B22&gt;0,"",'Base'!L89)</x:f>
        <x:v>115975</x:v>
      </x:c>
      <x:c r="E10" s="24" t="n">
        <x:f>IF('Setup'!B22&gt;0,"",MAX('Base'!L6:L89))</x:f>
        <x:v>122345</x:v>
      </x:c>
      <x:c r="F10" s="25" t="n">
        <x:f>IF('Setup'!B22&gt;0,"",SUM('Base'!N6:N89))</x:f>
        <x:v>712369.8000000006</x:v>
      </x:c>
      <x:c r="G10" s="25" t="n">
        <x:f>IF('Setup'!B22&gt;0,"",SUM('Base'!O6:O89))</x:f>
        <x:v>152421.0000000001</x:v>
      </x:c>
      <x:c r="H10" s="1" t="n">
        <x:f>IF('Setup'!B22&gt;0,"",SUM('Base'!C6:C89))</x:f>
        <x:v>60</x:v>
      </x:c>
      <x:c r="I10" s="1" t="n">
        <x:f>IF('Setup'!B22&gt;0,"",COUNTIF('Base'!L6:L89,"&gt;"&amp;'Setup'!B7))</x:f>
        <x:v>84</x:v>
      </x:c>
      <x:c r="J10" s="1"/>
    </x:row>
    <x:row r="11" ht="23" customHeight="1">
      <x:c r="A11" s="1" t="str">
        <x:v>Upside</x:v>
      </x:c>
      <x:c r="B11" s="24" t="n">
        <x:f>IF('Setup'!B22&gt;0,"",SUM('Upside'!D6:D89))</x:f>
        <x:v>675000</x:v>
      </x:c>
      <x:c r="C11" s="24" t="n">
        <x:f>IF('Setup'!B22&gt;0,"",SUM('Upside'!K6:K89))</x:f>
        <x:v>446525</x:v>
      </x:c>
      <x:c r="D11" s="24" t="n">
        <x:f>IF('Setup'!B22&gt;0,"",'Upside'!L89)</x:f>
        <x:v>228475</x:v>
      </x:c>
      <x:c r="E11" s="24" t="n">
        <x:f>IF('Setup'!B22&gt;0,"",MAX('Upside'!L6:L89))</x:f>
        <x:v>228475</x:v>
      </x:c>
      <x:c r="F11" s="25" t="n">
        <x:f>IF('Setup'!B22&gt;0,"",SUM('Upside'!N6:N89))</x:f>
        <x:v>712369.8000000006</x:v>
      </x:c>
      <x:c r="G11" s="25" t="n">
        <x:f>IF('Setup'!B22&gt;0,"",SUM('Upside'!O6:O89))</x:f>
        <x:v>152421.0000000001</x:v>
      </x:c>
      <x:c r="H11" s="1" t="n">
        <x:f>IF('Setup'!B22&gt;0,"",SUM('Upside'!C6:C89))</x:f>
        <x:v>60</x:v>
      </x:c>
      <x:c r="I11" s="1" t="n">
        <x:f>IF('Setup'!B22&gt;0,"",COUNTIF('Upside'!L6:L89,"&gt;"&amp;'Setup'!B7))</x:f>
        <x:v>84</x:v>
      </x:c>
      <x:c r="J11" s="1"/>
    </x:row>
    <x:row r="12" ht="23" customHeight="1">
      <x:c r="A12" s="1" t="str">
        <x:v>Disruption</x:v>
      </x:c>
      <x:c r="B12" s="24" t="n">
        <x:f>IF('Setup'!B22&gt;0,"",SUM('Disruption'!D6:D89))</x:f>
        <x:v>618750</x:v>
      </x:c>
      <x:c r="C12" s="24" t="n">
        <x:f>IF('Setup'!B22&gt;0,"",SUM('Disruption'!K6:K89))</x:f>
        <x:v>379795</x:v>
      </x:c>
      <x:c r="D12" s="24" t="n">
        <x:f>IF('Setup'!B22&gt;0,"",'Disruption'!L89)</x:f>
        <x:v>238955</x:v>
      </x:c>
      <x:c r="E12" s="24" t="n">
        <x:f>IF('Setup'!B22&gt;0,"",MAX('Disruption'!L6:L89))</x:f>
        <x:v>238955</x:v>
      </x:c>
      <x:c r="F12" s="25" t="n">
        <x:f>IF('Setup'!B22&gt;0,"",SUM('Disruption'!N6:N89))</x:f>
        <x:v>673654.0499999999</x:v>
      </x:c>
      <x:c r="G12" s="25" t="n">
        <x:f>IF('Setup'!B22&gt;0,"",SUM('Disruption'!O6:O89))</x:f>
        <x:v>144137.24999999997</x:v>
      </x:c>
      <x:c r="H12" s="1" t="n">
        <x:f>IF('Setup'!B22&gt;0,"",SUM('Disruption'!C6:C89))</x:f>
        <x:v>60</x:v>
      </x:c>
      <x:c r="I12" s="1" t="n">
        <x:f>IF('Setup'!B22&gt;0,"",COUNTIF('Disruption'!L6:L89,"&gt;"&amp;'Setup'!B7))</x:f>
        <x:v>84</x:v>
      </x:c>
      <x:c r="J12" s="1"/>
    </x:row>
    <x:row r="13" ht="23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</x:row>
    <x:row r="14" ht="23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</x:row>
    <x:row r="15" ht="42" customHeight="1">
      <x:c r="A15" s="8" t="str">
        <x:v>Week</x:v>
      </x:c>
      <x:c r="B15" s="8" t="str">
        <x:v>Base demand</x:v>
      </x:c>
      <x:c r="C15" s="8" t="str">
        <x:v>Base capacity</x:v>
      </x:c>
      <x:c r="D15" s="8" t="str">
        <x:v>Base backlog</x:v>
      </x:c>
      <x:c r="E15" s="8" t="str">
        <x:v>Upside backlog</x:v>
      </x:c>
      <x:c r="F15" s="8" t="str">
        <x:v>Disruption backlog</x:v>
      </x:c>
      <x:c r="G15" s="8" t="str">
        <x:v>Pick extra trained</x:v>
      </x:c>
      <x:c r="H15" s="8" t="str">
        <x:v>Pack extra trained</x:v>
      </x:c>
      <x:c r="I15" s="8" t="str">
        <x:v>Ship extra trained</x:v>
      </x:c>
      <x:c r="J15" s="8" t="str">
        <x:v>Base labor cost ($)</x:v>
      </x:c>
    </x:row>
    <x:row r="16" ht="23" customHeight="1">
      <x:c r="A16" s="1" t="n">
        <x:v>1</x:v>
      </x:c>
      <x:c r="B16" s="24" t="n">
        <x:f>IF('Setup'!B22&gt;0,"",SUM('Base'!D6:D12))</x:f>
        <x:v>32500</x:v>
      </x:c>
      <x:c r="C16" s="24" t="n">
        <x:f>IF('Setup'!B22&gt;0,"",SUM('Base'!J6:J12))</x:f>
        <x:v>29900</x:v>
      </x:c>
      <x:c r="D16" s="24" t="n">
        <x:f>IF('Setup'!B22&gt;0,"",'Base'!L12)</x:f>
        <x:v>2600</x:v>
      </x:c>
      <x:c r="E16" s="24" t="n">
        <x:f>IF('Setup'!B22&gt;0,"",'Upside'!L12)</x:f>
        <x:v>9100</x:v>
      </x:c>
      <x:c r="F16" s="24" t="n">
        <x:f>IF('Setup'!B22&gt;0,"",'Disruption'!L12)</x:f>
        <x:v>10305</x:v>
      </x:c>
      <x:c r="G16" s="24" t="n">
        <x:f>IF('Setup'!B22&gt;0,"",MAX('Base'!Q6:Q12))</x:f>
        <x:v>5</x:v>
      </x:c>
      <x:c r="H16" s="24" t="n">
        <x:f>IF('Setup'!B22&gt;0,"",MAX('Base'!R6:R12))</x:f>
        <x:v>6</x:v>
      </x:c>
      <x:c r="I16" s="24" t="n">
        <x:f>IF('Setup'!B22&gt;0,"",MAX('Base'!S6:S12))</x:f>
        <x:v>5</x:v>
      </x:c>
      <x:c r="J16" s="25" t="n">
        <x:f>IF('Setup'!B22&gt;0,"",SUM('Base'!N6:N12))</x:f>
        <x:v>46662.40000000001</x:v>
      </x:c>
    </x:row>
    <x:row r="17" ht="23" customHeight="1">
      <x:c r="A17" s="1" t="n">
        <x:v>2</x:v>
      </x:c>
      <x:c r="B17" s="24" t="n">
        <x:f>IF('Setup'!B22&gt;0,"",SUM('Base'!D13:D19))</x:f>
        <x:v>35000</x:v>
      </x:c>
      <x:c r="C17" s="24" t="n">
        <x:f>IF('Setup'!B22&gt;0,"",SUM('Base'!J13:J19))</x:f>
        <x:v>29900</x:v>
      </x:c>
      <x:c r="D17" s="24" t="n">
        <x:f>IF('Setup'!B22&gt;0,"",'Base'!L19)</x:f>
        <x:v>7700</x:v>
      </x:c>
      <x:c r="E17" s="24" t="n">
        <x:f>IF('Setup'!B22&gt;0,"",'Upside'!L19)</x:f>
        <x:v>21200</x:v>
      </x:c>
      <x:c r="F17" s="24" t="n">
        <x:f>IF('Setup'!B22&gt;0,"",'Disruption'!L19)</x:f>
        <x:v>23360</x:v>
      </x:c>
      <x:c r="G17" s="24" t="n">
        <x:f>IF('Setup'!B22&gt;0,"",MAX('Base'!Q13:Q19))</x:f>
        <x:v>22</x:v>
      </x:c>
      <x:c r="H17" s="24" t="n">
        <x:f>IF('Setup'!B22&gt;0,"",MAX('Base'!R13:R19))</x:f>
        <x:v>21</x:v>
      </x:c>
      <x:c r="I17" s="24" t="n">
        <x:f>IF('Setup'!B22&gt;0,"",MAX('Base'!S13:S19))</x:f>
        <x:v>13</x:v>
      </x:c>
      <x:c r="J17" s="25" t="n">
        <x:f>IF('Setup'!B22&gt;0,"",SUM('Base'!N13:N19))</x:f>
        <x:v>46662.40000000001</x:v>
      </x:c>
    </x:row>
    <x:row r="18" ht="23" customHeight="1">
      <x:c r="A18" s="1" t="n">
        <x:v>3</x:v>
      </x:c>
      <x:c r="B18" s="24" t="n">
        <x:f>IF('Setup'!B22&gt;0,"",SUM('Base'!D20:D26))</x:f>
        <x:v>40000</x:v>
      </x:c>
      <x:c r="C18" s="24" t="n">
        <x:f>IF('Setup'!B22&gt;0,"",SUM('Base'!J20:J26))</x:f>
        <x:v>34385</x:v>
      </x:c>
      <x:c r="D18" s="24" t="n">
        <x:f>IF('Setup'!B22&gt;0,"",'Base'!L26)</x:f>
        <x:v>13315</x:v>
      </x:c>
      <x:c r="E18" s="24" t="n">
        <x:f>IF('Setup'!B22&gt;0,"",'Upside'!L26)</x:f>
        <x:v>34815</x:v>
      </x:c>
      <x:c r="F18" s="24" t="n">
        <x:f>IF('Setup'!B22&gt;0,"",'Disruption'!L26)</x:f>
        <x:v>38100</x:v>
      </x:c>
      <x:c r="G18" s="24" t="n">
        <x:f>IF('Setup'!B22&gt;0,"",MAX('Base'!Q20:Q26))</x:f>
        <x:v>42</x:v>
      </x:c>
      <x:c r="H18" s="24" t="n">
        <x:f>IF('Setup'!B22&gt;0,"",MAX('Base'!R20:R26))</x:f>
        <x:v>37</x:v>
      </x:c>
      <x:c r="I18" s="24" t="n">
        <x:f>IF('Setup'!B22&gt;0,"",MAX('Base'!S20:S26))</x:f>
        <x:v>23</x:v>
      </x:c>
      <x:c r="J18" s="25" t="n">
        <x:f>IF('Setup'!B22&gt;0,"",SUM('Base'!N20:N26))</x:f>
        <x:v>56598.4</x:v>
      </x:c>
    </x:row>
    <x:row r="19" ht="23" customHeight="1">
      <x:c r="A19" s="1" t="n">
        <x:v>4</x:v>
      </x:c>
      <x:c r="B19" s="24" t="n">
        <x:f>IF('Setup'!B22&gt;0,"",SUM('Base'!D27:D33))</x:f>
        <x:v>42500</x:v>
      </x:c>
      <x:c r="C19" s="24" t="n">
        <x:f>IF('Setup'!B22&gt;0,"",SUM('Base'!J27:J33))</x:f>
        <x:v>35730</x:v>
      </x:c>
      <x:c r="D19" s="24" t="n">
        <x:f>IF('Setup'!B22&gt;0,"",'Base'!L33)</x:f>
        <x:v>20085</x:v>
      </x:c>
      <x:c r="E19" s="24" t="n">
        <x:f>IF('Setup'!B22&gt;0,"",'Upside'!L33)</x:f>
        <x:v>50085</x:v>
      </x:c>
      <x:c r="F19" s="24" t="n">
        <x:f>IF('Setup'!B22&gt;0,"",'Disruption'!L33)</x:f>
        <x:v>54445</x:v>
      </x:c>
      <x:c r="G19" s="24" t="n">
        <x:f>IF('Setup'!B22&gt;0,"",MAX('Base'!Q27:Q33))</x:f>
        <x:v>65</x:v>
      </x:c>
      <x:c r="H19" s="24" t="n">
        <x:f>IF('Setup'!B22&gt;0,"",MAX('Base'!R27:R33))</x:f>
        <x:v>56</x:v>
      </x:c>
      <x:c r="I19" s="24" t="n">
        <x:f>IF('Setup'!B22&gt;0,"",MAX('Base'!S27:S33))</x:f>
        <x:v>34</x:v>
      </x:c>
      <x:c r="J19" s="25" t="n">
        <x:f>IF('Setup'!B22&gt;0,"",SUM('Base'!N27:N33))</x:f>
        <x:v>56598.4</x:v>
      </x:c>
    </x:row>
    <x:row r="20" ht="23" customHeight="1">
      <x:c r="A20" s="1" t="n">
        <x:v>5</x:v>
      </x:c>
      <x:c r="B20" s="24" t="n">
        <x:f>IF('Setup'!B22&gt;0,"",SUM('Base'!D34:D40))</x:f>
        <x:v>45000</x:v>
      </x:c>
      <x:c r="C20" s="24" t="n">
        <x:f>IF('Setup'!B22&gt;0,"",SUM('Base'!J34:J40))</x:f>
        <x:v>40000</x:v>
      </x:c>
      <x:c r="D20" s="24" t="n">
        <x:f>IF('Setup'!B22&gt;0,"",'Base'!L40)</x:f>
        <x:v>25085</x:v>
      </x:c>
      <x:c r="E20" s="24" t="n">
        <x:f>IF('Setup'!B22&gt;0,"",'Upside'!L40)</x:f>
        <x:v>64085</x:v>
      </x:c>
      <x:c r="F20" s="24" t="n">
        <x:f>IF('Setup'!B22&gt;0,"",'Disruption'!L40)</x:f>
        <x:v>69945</x:v>
      </x:c>
      <x:c r="G20" s="24" t="n">
        <x:f>IF('Setup'!B22&gt;0,"",MAX('Base'!Q34:Q40))</x:f>
        <x:v>70</x:v>
      </x:c>
      <x:c r="H20" s="24" t="n">
        <x:f>IF('Setup'!B22&gt;0,"",MAX('Base'!R34:R40))</x:f>
        <x:v>60</x:v>
      </x:c>
      <x:c r="I20" s="24" t="n">
        <x:f>IF('Setup'!B22&gt;0,"",MAX('Base'!S34:S40))</x:f>
        <x:v>37</x:v>
      </x:c>
      <x:c r="J20" s="25" t="n">
        <x:f>IF('Setup'!B22&gt;0,"",SUM('Base'!N34:N40))</x:f>
        <x:v>67210.6</x:v>
      </x:c>
    </x:row>
    <x:row r="21" ht="23" customHeight="1">
      <x:c r="A21" s="1" t="n">
        <x:v>6</x:v>
      </x:c>
      <x:c r="B21" s="24" t="n">
        <x:f>IF('Setup'!B22&gt;0,"",SUM('Base'!D41:D47))</x:f>
        <x:v>55000</x:v>
      </x:c>
      <x:c r="C21" s="24" t="n">
        <x:f>IF('Setup'!B22&gt;0,"",SUM('Base'!J41:J47))</x:f>
        <x:v>40000</x:v>
      </x:c>
      <x:c r="D21" s="24" t="n">
        <x:f>IF('Setup'!B22&gt;0,"",'Base'!L47)</x:f>
        <x:v>40085</x:v>
      </x:c>
      <x:c r="E21" s="24" t="n">
        <x:f>IF('Setup'!B22&gt;0,"",'Upside'!L47)</x:f>
        <x:v>90085</x:v>
      </x:c>
      <x:c r="F21" s="24" t="n">
        <x:f>IF('Setup'!B22&gt;0,"",'Disruption'!L47)</x:f>
        <x:v>96445</x:v>
      </x:c>
      <x:c r="G21" s="24" t="n">
        <x:f>IF('Setup'!B22&gt;0,"",MAX('Base'!Q41:Q47))</x:f>
        <x:v>114</x:v>
      </x:c>
      <x:c r="H21" s="24" t="n">
        <x:f>IF('Setup'!B22&gt;0,"",MAX('Base'!R41:R47))</x:f>
        <x:v>97</x:v>
      </x:c>
      <x:c r="I21" s="24" t="n">
        <x:f>IF('Setup'!B22&gt;0,"",MAX('Base'!S41:S47))</x:f>
        <x:v>58</x:v>
      </x:c>
      <x:c r="J21" s="25" t="n">
        <x:f>IF('Setup'!B22&gt;0,"",SUM('Base'!N41:N47))</x:f>
        <x:v>67210.6</x:v>
      </x:c>
    </x:row>
    <x:row r="22" ht="23" customHeight="1">
      <x:c r="A22" s="1" t="n">
        <x:v>7</x:v>
      </x:c>
      <x:c r="B22" s="24" t="n">
        <x:f>IF('Setup'!B22&gt;0,"",SUM('Base'!D48:D54))</x:f>
        <x:v>62500</x:v>
      </x:c>
      <x:c r="C22" s="24" t="n">
        <x:f>IF('Setup'!B22&gt;0,"",SUM('Base'!J48:J54))</x:f>
        <x:v>40000</x:v>
      </x:c>
      <x:c r="D22" s="24" t="n">
        <x:f>IF('Setup'!B22&gt;0,"",'Base'!L54)</x:f>
        <x:v>62585</x:v>
      </x:c>
      <x:c r="E22" s="24" t="n">
        <x:f>IF('Setup'!B22&gt;0,"",'Upside'!L54)</x:f>
        <x:v>125085</x:v>
      </x:c>
      <x:c r="F22" s="24" t="n">
        <x:f>IF('Setup'!B22&gt;0,"",'Disruption'!L54)</x:f>
        <x:v>131195</x:v>
      </x:c>
      <x:c r="G22" s="24" t="n">
        <x:f>IF('Setup'!B22&gt;0,"",MAX('Base'!Q48:Q54))</x:f>
        <x:v>180</x:v>
      </x:c>
      <x:c r="H22" s="24" t="n">
        <x:f>IF('Setup'!B22&gt;0,"",MAX('Base'!R48:R54))</x:f>
        <x:v>151</x:v>
      </x:c>
      <x:c r="I22" s="24" t="n">
        <x:f>IF('Setup'!B22&gt;0,"",MAX('Base'!S48:S54))</x:f>
        <x:v>91</x:v>
      </x:c>
      <x:c r="J22" s="25" t="n">
        <x:f>IF('Setup'!B22&gt;0,"",SUM('Base'!N48:N54))</x:f>
        <x:v>67210.6</x:v>
      </x:c>
    </x:row>
    <x:row r="23" ht="23" customHeight="1">
      <x:c r="A23" s="1" t="n">
        <x:v>8</x:v>
      </x:c>
      <x:c r="B23" s="24" t="n">
        <x:f>IF('Setup'!B22&gt;0,"",SUM('Base'!D55:D61))</x:f>
        <x:v>70000</x:v>
      </x:c>
      <x:c r="C23" s="24" t="n">
        <x:f>IF('Setup'!B22&gt;0,"",SUM('Base'!J55:J61))</x:f>
        <x:v>40000</x:v>
      </x:c>
      <x:c r="D23" s="24" t="n">
        <x:f>IF('Setup'!B22&gt;0,"",'Base'!L61)</x:f>
        <x:v>92585</x:v>
      </x:c>
      <x:c r="E23" s="24" t="n">
        <x:f>IF('Setup'!B22&gt;0,"",'Upside'!L61)</x:f>
        <x:v>169085</x:v>
      </x:c>
      <x:c r="F23" s="24" t="n">
        <x:f>IF('Setup'!B22&gt;0,"",'Disruption'!L61)</x:f>
        <x:v>174195</x:v>
      </x:c>
      <x:c r="G23" s="24" t="n">
        <x:f>IF('Setup'!B22&gt;0,"",MAX('Base'!Q55:Q61))</x:f>
        <x:v>268</x:v>
      </x:c>
      <x:c r="H23" s="24" t="n">
        <x:f>IF('Setup'!B22&gt;0,"",MAX('Base'!R55:R61))</x:f>
        <x:v>225</x:v>
      </x:c>
      <x:c r="I23" s="24" t="n">
        <x:f>IF('Setup'!B22&gt;0,"",MAX('Base'!S55:S61))</x:f>
        <x:v>135</x:v>
      </x:c>
      <x:c r="J23" s="25" t="n">
        <x:f>IF('Setup'!B22&gt;0,"",SUM('Base'!N55:N61))</x:f>
        <x:v>67210.6</x:v>
      </x:c>
    </x:row>
    <x:row r="24" ht="23" customHeight="1">
      <x:c r="A24" s="1" t="n">
        <x:v>9</x:v>
      </x:c>
      <x:c r="B24" s="24" t="n">
        <x:f>IF('Setup'!B22&gt;0,"",SUM('Base'!D62:D68))</x:f>
        <x:v>57500</x:v>
      </x:c>
      <x:c r="C24" s="24" t="n">
        <x:f>IF('Setup'!B22&gt;0,"",SUM('Base'!J62:J68))</x:f>
        <x:v>40000</x:v>
      </x:c>
      <x:c r="D24" s="24" t="n">
        <x:f>IF('Setup'!B22&gt;0,"",'Base'!L68)</x:f>
        <x:v>110085</x:v>
      </x:c>
      <x:c r="E24" s="24" t="n">
        <x:f>IF('Setup'!B22&gt;0,"",'Upside'!L68)</x:f>
        <x:v>198085</x:v>
      </x:c>
      <x:c r="F24" s="24" t="n">
        <x:f>IF('Setup'!B22&gt;0,"",'Disruption'!L68)</x:f>
        <x:v>203445</x:v>
      </x:c>
      <x:c r="G24" s="24" t="n">
        <x:f>IF('Setup'!B22&gt;0,"",MAX('Base'!Q62:Q68))</x:f>
        <x:v>319</x:v>
      </x:c>
      <x:c r="H24" s="24" t="n">
        <x:f>IF('Setup'!B22&gt;0,"",MAX('Base'!R62:R68))</x:f>
        <x:v>268</x:v>
      </x:c>
      <x:c r="I24" s="24" t="n">
        <x:f>IF('Setup'!B22&gt;0,"",MAX('Base'!S62:S68))</x:f>
        <x:v>161</x:v>
      </x:c>
      <x:c r="J24" s="25" t="n">
        <x:f>IF('Setup'!B22&gt;0,"",SUM('Base'!N62:N68))</x:f>
        <x:v>67210.6</x:v>
      </x:c>
    </x:row>
    <x:row r="25" ht="23" customHeight="1">
      <x:c r="A25" s="1" t="n">
        <x:v>10</x:v>
      </x:c>
      <x:c r="B25" s="24" t="n">
        <x:f>IF('Setup'!B22&gt;0,"",SUM('Base'!D69:D75))</x:f>
        <x:v>50000</x:v>
      </x:c>
      <x:c r="C25" s="24" t="n">
        <x:f>IF('Setup'!B22&gt;0,"",SUM('Base'!J69:J75))</x:f>
        <x:v>38870</x:v>
      </x:c>
      <x:c r="D25" s="24" t="n">
        <x:f>IF('Setup'!B22&gt;0,"",'Base'!L75)</x:f>
        <x:v>121215</x:v>
      </x:c>
      <x:c r="E25" s="24" t="n">
        <x:f>IF('Setup'!B22&gt;0,"",'Upside'!L75)</x:f>
        <x:v>219215</x:v>
      </x:c>
      <x:c r="F25" s="24" t="n">
        <x:f>IF('Setup'!B22&gt;0,"",'Disruption'!L75)</x:f>
        <x:v>225365</x:v>
      </x:c>
      <x:c r="G25" s="24" t="n">
        <x:f>IF('Setup'!B22&gt;0,"",MAX('Base'!Q69:Q75))</x:f>
        <x:v>404</x:v>
      </x:c>
      <x:c r="H25" s="24" t="n">
        <x:f>IF('Setup'!B22&gt;0,"",MAX('Base'!R69:R75))</x:f>
        <x:v>338</x:v>
      </x:c>
      <x:c r="I25" s="24" t="n">
        <x:f>IF('Setup'!B22&gt;0,"",MAX('Base'!S69:S75))</x:f>
        <x:v>203</x:v>
      </x:c>
      <x:c r="J25" s="25" t="n">
        <x:f>IF('Setup'!B22&gt;0,"",SUM('Base'!N69:N75))</x:f>
        <x:v>56598.4</x:v>
      </x:c>
    </x:row>
    <x:row r="26" ht="23" customHeight="1">
      <x:c r="A26" s="1" t="n">
        <x:v>11</x:v>
      </x:c>
      <x:c r="B26" s="24" t="n">
        <x:f>IF('Setup'!B22&gt;0,"",SUM('Base'!D76:D82))</x:f>
        <x:v>40000</x:v>
      </x:c>
      <x:c r="C26" s="24" t="n">
        <x:f>IF('Setup'!B22&gt;0,"",SUM('Base'!J76:J82))</x:f>
        <x:v>38870</x:v>
      </x:c>
      <x:c r="D26" s="24" t="n">
        <x:f>IF('Setup'!B22&gt;0,"",'Base'!L82)</x:f>
        <x:v>122345</x:v>
      </x:c>
      <x:c r="E26" s="24" t="n">
        <x:f>IF('Setup'!B22&gt;0,"",'Upside'!L82)</x:f>
        <x:v>228345</x:v>
      </x:c>
      <x:c r="F26" s="24" t="n">
        <x:f>IF('Setup'!B22&gt;0,"",'Disruption'!L82)</x:f>
        <x:v>236285</x:v>
      </x:c>
      <x:c r="G26" s="24" t="n">
        <x:f>IF('Setup'!B22&gt;0,"",MAX('Base'!Q76:Q82))</x:f>
        <x:v>408</x:v>
      </x:c>
      <x:c r="H26" s="24" t="n">
        <x:f>IF('Setup'!B22&gt;0,"",MAX('Base'!R76:R82))</x:f>
        <x:v>341</x:v>
      </x:c>
      <x:c r="I26" s="24" t="n">
        <x:f>IF('Setup'!B22&gt;0,"",MAX('Base'!S76:S82))</x:f>
        <x:v>205</x:v>
      </x:c>
      <x:c r="J26" s="25" t="n">
        <x:f>IF('Setup'!B22&gt;0,"",SUM('Base'!N76:N82))</x:f>
        <x:v>56598.4</x:v>
      </x:c>
    </x:row>
    <x:row r="27" ht="23" customHeight="1">
      <x:c r="A27" s="1" t="n">
        <x:v>12</x:v>
      </x:c>
      <x:c r="B27" s="24" t="n">
        <x:f>IF('Setup'!B22&gt;0,"",SUM('Base'!D83:D89))</x:f>
        <x:v>32500</x:v>
      </x:c>
      <x:c r="C27" s="24" t="n">
        <x:f>IF('Setup'!B22&gt;0,"",SUM('Base'!J83:J89))</x:f>
        <x:v>38870</x:v>
      </x:c>
      <x:c r="D27" s="24" t="n">
        <x:f>IF('Setup'!B22&gt;0,"",'Base'!L89)</x:f>
        <x:v>115975</x:v>
      </x:c>
      <x:c r="E27" s="24" t="n">
        <x:f>IF('Setup'!B22&gt;0,"",'Upside'!L89)</x:f>
        <x:v>228475</x:v>
      </x:c>
      <x:c r="F27" s="24" t="n">
        <x:f>IF('Setup'!B22&gt;0,"",'Disruption'!L89)</x:f>
        <x:v>238955</x:v>
      </x:c>
      <x:c r="G27" s="24" t="n">
        <x:f>IF('Setup'!B22&gt;0,"",MAX('Base'!Q83:Q89))</x:f>
        <x:v>403</x:v>
      </x:c>
      <x:c r="H27" s="24" t="n">
        <x:f>IF('Setup'!B22&gt;0,"",MAX('Base'!R83:R89))</x:f>
        <x:v>338</x:v>
      </x:c>
      <x:c r="I27" s="24" t="n">
        <x:f>IF('Setup'!B22&gt;0,"",MAX('Base'!S83:S89))</x:f>
        <x:v>203</x:v>
      </x:c>
      <x:c r="J27" s="25" t="n">
        <x:f>IF('Setup'!B22&gt;0,"",SUM('Base'!N83:N89))</x:f>
        <x:v>56598.4</x:v>
      </x:c>
    </x:row>
    <x:row r="28" ht="23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 ht="23" customHeight="1">
      <x:c r="A29" s="1" t="str">
        <x:v>Weekly extra trained heads show the largest Base daily gap. Resolve physical limits before treating extra heads as a feasible plan.</x:v>
      </x:c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3" customHeight="1">
      <x:c r="A30" s="1" t="str">
        <x:v>Weekly capacity is the sum of daily flow capacity. A weekly surplus cannot undo missed intraday cutoffs; backlog carries daily.</x:v>
      </x:c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3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 ht="23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 ht="23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 ht="23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 ht="23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 ht="23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 ht="23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 ht="23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 ht="23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 ht="23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 ht="23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 ht="23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 ht="23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 ht="23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 ht="23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 ht="23" customHeight="1">
      <x:c r="A48" s="1" t="str">
        <x:v>Method explains assumptions. Capacity shows every stage calculation. Daily tabs show the date, action and limiting process.</x:v>
      </x:c>
      <x:c r="B48" s="1"/>
      <x:c r="C48" s="1"/>
      <x:c r="D48" s="1"/>
      <x:c r="E48" s="1"/>
      <x:c r="F48" s="1"/>
      <x:c r="G48" s="1"/>
      <x:c r="H48" s="1"/>
      <x:c r="I48" s="1"/>
      <x:c r="J48" s="1"/>
    </x:row>
    <x:row r="49" ht="23" customHeight="1">
      <x:c r="A49" s="1" t="str">
        <x:v>This service-assisted model covers one building, one outbound order flow and three stages. No actual client data or results are included.</x:v>
      </x:c>
      <x:c r="B49" s="1"/>
      <x:c r="C49" s="1"/>
      <x:c r="D49" s="1"/>
      <x:c r="E49" s="1"/>
      <x:c r="F49" s="1"/>
      <x:c r="G49" s="1"/>
      <x:c r="H49" s="1"/>
      <x:c r="I49" s="1"/>
      <x:c r="J49" s="1"/>
    </x:row>
    <x:row r="50" ht="23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</x:sheetData>
  <x:conditionalFormatting sqref="D10:E12">
    <x:cfRule type="cellIs" dxfId="12" priority="1" operator="greaterThan">
      <x:formula>0</x:formula>
    </x:cfRule>
  </x:conditionalFormatting>
  <x:pageMargins left="0.7" right="0.7" top="0.75" bottom="0.75" header="0.3" footer="0.3"/>
  <x:drawing xmlns:r="http://schemas.openxmlformats.org/officeDocument/2006/relationships" r:id="R629decd6733644d9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16" hidden="0" customWidth="1"/>
    <x:col min="3" max="3" width="16" hidden="0" customWidth="1"/>
    <x:col min="4" max="4" width="67" hidden="0" customWidth="1"/>
    <x:col min="5" max="5" width="19" hidden="0" customWidth="1"/>
  </x:cols>
  <x:sheetData>
    <x:row r="1" ht="31" customHeight="1">
      <x:c r="A1" s="2" t="str">
        <x:v>Planning assumptions</x:v>
      </x:c>
      <x:c r="B1" s="1"/>
      <x:c r="C1" s="1"/>
      <x:c r="D1" s="1"/>
      <x:c r="E1" s="1"/>
    </x:row>
    <x:row r="2" ht="23" customHeight="1">
      <x:c r="A2" s="3" t="str">
        <x:v>Synthetic demonstration. Replace all amber inputs before using with a client.</x:v>
      </x:c>
      <x:c r="B2" s="1"/>
      <x:c r="C2" s="1"/>
      <x:c r="D2" s="1"/>
      <x:c r="E2" s="1"/>
    </x:row>
    <x:row r="3" ht="23" customHeight="1">
      <x:c r="A3" s="4"/>
      <x:c r="B3" s="4"/>
      <x:c r="C3" s="4"/>
      <x:c r="D3" s="4"/>
      <x:c r="E3" s="4"/>
    </x:row>
    <x:row r="4" ht="42" customHeight="1">
      <x:c r="A4" s="8" t="str">
        <x:v>Assumption</x:v>
      </x:c>
      <x:c r="B4" s="8" t="str">
        <x:v>Value</x:v>
      </x:c>
      <x:c r="C4" s="8" t="str">
        <x:v>Unit</x:v>
      </x:c>
      <x:c r="D4" s="8" t="str">
        <x:v>Definition</x:v>
      </x:c>
      <x:c r="E4" s="8" t="str"/>
    </x:row>
    <x:row r="5" ht="35" customHeight="1">
      <x:c r="A5" s="1" t="str">
        <x:v>Plan start</x:v>
      </x:c>
      <x:c r="B5" s="11" t="n">
        <x:v>46300</x:v>
      </x:c>
      <x:c r="C5" s="1" t="str">
        <x:v>date</x:v>
      </x:c>
      <x:c r="D5" s="14" t="str">
        <x:v>First day of the fixed 84-day horizon.</x:v>
      </x:c>
      <x:c r="E5" s="1"/>
    </x:row>
    <x:row r="6" ht="35" customHeight="1">
      <x:c r="A6" s="1" t="str">
        <x:v>Opening backlog</x:v>
      </x:c>
      <x:c r="B6" s="10" t="n">
        <x:v>0</x:v>
      </x:c>
      <x:c r="C6" s="1" t="str">
        <x:v>orders</x:v>
      </x:c>
      <x:c r="D6" s="14" t="str">
        <x:v>Uncompleted orders before day 1; all require the full modeled flow.</x:v>
      </x:c>
      <x:c r="E6" s="1"/>
    </x:row>
    <x:row r="7" ht="35" customHeight="1">
      <x:c r="A7" s="1" t="str">
        <x:v>Backlog action threshold</x:v>
      </x:c>
      <x:c r="B7" s="10" t="n">
        <x:v>500</x:v>
      </x:c>
      <x:c r="C7" s="1" t="str">
        <x:v>orders</x:v>
      </x:c>
      <x:c r="D7" s="14" t="str">
        <x:v>Escalate when end-of-day backlog exceeds this chosen threshold.</x:v>
      </x:c>
      <x:c r="E7" s="1"/>
    </x:row>
    <x:row r="8" ht="35" customHeight="1">
      <x:c r="A8" s="1"/>
      <x:c r="B8" s="1"/>
      <x:c r="C8" s="1"/>
      <x:c r="D8" s="14"/>
      <x:c r="E8" s="1"/>
    </x:row>
    <x:row r="9" ht="35" customHeight="1">
      <x:c r="A9" s="1" t="str">
        <x:v>New hire week 1</x:v>
      </x:c>
      <x:c r="B9" s="12" t="n">
        <x:v>0.5</x:v>
      </x:c>
      <x:c r="C9" s="1" t="str">
        <x:v>rate share</x:v>
      </x:c>
      <x:c r="D9" s="14" t="str">
        <x:v>Fraction of an established worker’s rate; applied once to new hires.</x:v>
      </x:c>
      <x:c r="E9" s="1"/>
    </x:row>
    <x:row r="10" ht="35" customHeight="1">
      <x:c r="A10" s="1" t="str">
        <x:v>New hire week 2</x:v>
      </x:c>
      <x:c r="B10" s="12" t="n">
        <x:v>0.65</x:v>
      </x:c>
      <x:c r="C10" s="1" t="str">
        <x:v>rate share</x:v>
      </x:c>
      <x:c r="D10" s="14" t="str">
        <x:v>Tenure is counted in whole plan weeks, beginning with hire week.</x:v>
      </x:c>
      <x:c r="E10" s="1"/>
    </x:row>
    <x:row r="11" ht="35" customHeight="1">
      <x:c r="A11" s="1" t="str">
        <x:v>New hire week 3</x:v>
      </x:c>
      <x:c r="B11" s="12" t="n">
        <x:v>0.8</x:v>
      </x:c>
      <x:c r="C11" s="1" t="str">
        <x:v>rate share</x:v>
      </x:c>
      <x:c r="D11" s="14" t="str">
        <x:v>Paid hours are unchanged by this learning-rate assumption.</x:v>
      </x:c>
      <x:c r="E11" s="1"/>
    </x:row>
    <x:row r="12" ht="35" customHeight="1">
      <x:c r="A12" s="1" t="str">
        <x:v>New hire week 4</x:v>
      </x:c>
      <x:c r="B12" s="12" t="n">
        <x:v>0.9</x:v>
      </x:c>
      <x:c r="C12" s="1" t="str">
        <x:v>rate share</x:v>
      </x:c>
      <x:c r="D12" s="14" t="str">
        <x:v>Replace with measured local cohort performance.</x:v>
      </x:c>
      <x:c r="E12" s="1"/>
    </x:row>
    <x:row r="13" ht="35" customHeight="1">
      <x:c r="A13" s="1" t="str">
        <x:v>New hire week 5+</x:v>
      </x:c>
      <x:c r="B13" s="12" t="n">
        <x:v>1</x:v>
      </x:c>
      <x:c r="C13" s="1" t="str">
        <x:v>rate share</x:v>
      </x:c>
      <x:c r="D13" s="14" t="str">
        <x:v>One cohort per process; cohorts remain through the horizon.</x:v>
      </x:c>
      <x:c r="E13" s="1"/>
    </x:row>
    <x:row r="14" ht="23" customHeight="1">
      <x:c r="A14" s="1"/>
      <x:c r="B14" s="1"/>
      <x:c r="C14" s="1"/>
      <x:c r="D14" s="14"/>
      <x:c r="E14" s="1"/>
    </x:row>
    <x:row r="15" ht="23" customHeight="1">
      <x:c r="A15" s="1"/>
      <x:c r="B15" s="1"/>
      <x:c r="C15" s="1"/>
      <x:c r="D15" s="14"/>
      <x:c r="E15" s="1"/>
    </x:row>
    <x:row r="16" ht="42" customHeight="1">
      <x:c r="A16" s="8" t="str">
        <x:v>Scenario</x:v>
      </x:c>
      <x:c r="B16" s="8" t="str">
        <x:v>Demand factor</x:v>
      </x:c>
      <x:c r="C16" s="8" t="str">
        <x:v>Absence added</x:v>
      </x:c>
      <x:c r="D16" s="8" t="str">
        <x:v>Rate factor</x:v>
      </x:c>
      <x:c r="E16" s="8" t="str">
        <x:v>Physical factor</x:v>
      </x:c>
    </x:row>
    <x:row r="17" ht="23" customHeight="1">
      <x:c r="A17" s="1" t="str">
        <x:v>Base</x:v>
      </x:c>
      <x:c r="B17" s="13" t="n">
        <x:v>1</x:v>
      </x:c>
      <x:c r="C17" s="12" t="n">
        <x:v>0</x:v>
      </x:c>
      <x:c r="D17" s="15" t="n">
        <x:v>1</x:v>
      </x:c>
      <x:c r="E17" s="13" t="n">
        <x:v>1</x:v>
      </x:c>
    </x:row>
    <x:row r="18" ht="23" customHeight="1">
      <x:c r="A18" s="1" t="str">
        <x:v>Upside</x:v>
      </x:c>
      <x:c r="B18" s="13" t="n">
        <x:v>1.2</x:v>
      </x:c>
      <x:c r="C18" s="12" t="n">
        <x:v>0</x:v>
      </x:c>
      <x:c r="D18" s="15" t="n">
        <x:v>1</x:v>
      </x:c>
      <x:c r="E18" s="13" t="n">
        <x:v>1</x:v>
      </x:c>
    </x:row>
    <x:row r="19" ht="23" customHeight="1">
      <x:c r="A19" s="1" t="str">
        <x:v>Disruption</x:v>
      </x:c>
      <x:c r="B19" s="13" t="n">
        <x:v>1.1</x:v>
      </x:c>
      <x:c r="C19" s="12" t="n">
        <x:v>0.05</x:v>
      </x:c>
      <x:c r="D19" s="15" t="n">
        <x:v>0.9</x:v>
      </x:c>
      <x:c r="E19" s="13" t="n">
        <x:v>0.85</x:v>
      </x:c>
    </x:row>
    <x:row r="20" ht="23" customHeight="1">
      <x:c r="A20" s="1"/>
      <x:c r="B20" s="1"/>
      <x:c r="C20" s="1"/>
      <x:c r="D20" s="14"/>
      <x:c r="E20" s="1"/>
    </x:row>
    <x:row r="21" ht="23" customHeight="1">
      <x:c r="A21" s="1"/>
      <x:c r="B21" s="1"/>
      <x:c r="C21" s="1"/>
      <x:c r="D21" s="14"/>
      <x:c r="E21" s="1"/>
    </x:row>
    <x:row r="22" ht="23" customHeight="1">
      <x:c r="A22" s="1" t="str">
        <x:v>Invalid input groups</x:v>
      </x:c>
      <x:c r="B22" s="1" t="n">
        <x:f>SUM(B23:B26)</x:f>
        <x:v>0</x:v>
      </x:c>
      <x:c r="C22" s="1"/>
      <x:c r="D22" s="14" t="str">
        <x:v>0 = numeric and range checks satisfied. Any other value suppresses model outputs.</x:v>
      </x:c>
      <x:c r="E22" s="1"/>
    </x:row>
    <x:row r="23" ht="23" customHeight="1">
      <x:c r="A23" s="1" t="str">
        <x:v>Setup</x:v>
      </x:c>
      <x:c r="B23" s="1" t="n">
        <x:f>IF(AND(COUNT(B5:B7)=3,B5=INT(B5),B6&gt;=0,B6=INT(B6),B7&gt;=0,COUNT(B9:B13)=5,MIN(B9:B13)&gt;=0,MAX(B9:B13)&lt;=1,COUNT(B17:E19)=12,MIN(B17:B19)&gt;0,MIN(C17:C19)&gt;=0,MIN(D17:E19)&gt;0,MAX(C17:C19)+MAX('Processes'!G6:G8)&lt;1),0,1)</x:f>
        <x:v>0</x:v>
      </x:c>
      <x:c r="C23" s="1"/>
      <x:c r="D23" s="14" t="str">
        <x:v>Check dates, backlog, ramps and scenario values.</x:v>
      </x:c>
      <x:c r="E23" s="1"/>
    </x:row>
    <x:row r="24" ht="23" customHeight="1">
      <x:c r="A24" s="1" t="str">
        <x:v>Processes</x:v>
      </x:c>
      <x:c r="B24" s="1" t="n">
        <x:f>IF(AND(COUNT('Processes'!B6:O8)=42,COUNTBLANK('Processes'!A6:A8)=0,MIN('Processes'!B6:C8)&gt;0,MIN('Processes'!D6:D8)&gt;=0,MIN('Processes'!E6:F8)&gt;0,MIN('Processes'!G6:J8)&gt;=0,MAX('Processes'!G6:H8)&lt;=1,MIN('Processes'!K6:O8)&gt;=0,SUM('Processes'!P6:P8)=0),0,1)</x:f>
        <x:v>0</x:v>
      </x:c>
      <x:c r="C24" s="1"/>
      <x:c r="D24" s="14" t="str">
        <x:v>Check stage units, hours, rates, integer heads, stations and hire weeks.</x:v>
      </x:c>
      <x:c r="E24" s="1"/>
    </x:row>
    <x:row r="25" ht="23" customHeight="1">
      <x:c r="A25" s="1" t="str">
        <x:v>Staffing</x:v>
      </x:c>
      <x:c r="B25" s="1" t="n">
        <x:f>IF(AND(COUNT('Staffing'!C6:H17)=72,MIN('Staffing'!C6:H17)&gt;=0,SUM('Staffing'!I6:I17)=0),0,1)</x:f>
        <x:v>0</x:v>
      </x:c>
      <x:c r="C25" s="1"/>
      <x:c r="D25" s="14" t="str">
        <x:v>Check nonnegative whole headcounts and nonnegative OT.</x:v>
      </x:c>
      <x:c r="E25" s="1"/>
    </x:row>
    <x:row r="26" ht="23" customHeight="1">
      <x:c r="A26" s="1" t="str">
        <x:v>Demand</x:v>
      </x:c>
      <x:c r="B26" s="1" t="n">
        <x:f>IF(AND(COUNT('Demand'!C6:D89)=168,MIN('Demand'!C6:D89)&gt;=0,MAX('Demand'!C6:C89)&lt;=1,SUM('Demand'!F6:F89)=0),0,1)</x:f>
        <x:v>0</x:v>
      </x:c>
      <x:c r="C26" s="1"/>
      <x:c r="D26" s="14" t="str">
        <x:v>Check integer orders and open-day flags of 0 or 1.</x:v>
      </x:c>
      <x:c r="E26" s="1"/>
    </x:row>
    <x:row r="27" ht="23" customHeight="1">
      <x:c r="A27" s="1"/>
      <x:c r="B27" s="1"/>
      <x:c r="C27" s="1"/>
      <x:c r="D27" s="1"/>
      <x:c r="E27" s="1"/>
    </x:row>
    <x:row r="28" ht="23" customHeight="1">
      <x:c r="A28" s="1"/>
      <x:c r="B28" s="1"/>
      <x:c r="C28" s="1"/>
      <x:c r="D28" s="1"/>
      <x:c r="E28" s="1"/>
    </x:row>
    <x:row r="29" ht="23" customHeight="1">
      <x:c r="A29" s="1" t="str">
        <x:v>Amber cells are editable. White cells calculate. Dates and scenario names are fixed links.</x:v>
      </x:c>
      <x:c r="B29" s="1"/>
      <x:c r="C29" s="1"/>
      <x:c r="D29" s="1"/>
      <x:c r="E29" s="1"/>
    </x:row>
    <x:row r="30" ht="23" customHeight="1">
      <x:c r="A30" s="1"/>
      <x:c r="B30" s="1"/>
      <x:c r="C30" s="1"/>
      <x:c r="D30" s="1"/>
      <x:c r="E30" s="1"/>
    </x:row>
    <x:row r="31" ht="23" customHeight="1">
      <x:c r="A31" s="1" t="str">
        <x:v>Absence is a share of scheduled people. Rate reduction is a separate effect, never another absence factor.</x:v>
      </x:c>
      <x:c r="B31" s="1"/>
      <x:c r="C31" s="1"/>
      <x:c r="D31" s="1"/>
      <x:c r="E31" s="1"/>
    </x:row>
    <x:row r="32" ht="23" customHeight="1">
      <x:c r="A32" s="1"/>
      <x:c r="B32" s="1"/>
      <x:c r="C32" s="1"/>
      <x:c r="D32" s="1"/>
      <x:c r="E32" s="1"/>
    </x:row>
    <x:row r="33" ht="23" customHeight="1">
      <x:c r="A33" s="1"/>
      <x:c r="B33" s="1"/>
      <x:c r="C33" s="1"/>
      <x:c r="D33" s="1"/>
      <x:c r="E33" s="1"/>
    </x:row>
  </x:sheetData>
  <x:conditionalFormatting sqref="B22:B26">
    <x:cfRule type="cellIs" dxfId="0" priority="1" operator="greater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</x:cols>
  <x:sheetData>
    <x:row r="1" ht="31" customHeight="1">
      <x:c r="A1" s="2" t="str">
        <x:v>Outbound processes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23" customHeight="1">
      <x:c r="A2" s="3" t="str">
        <x:v>Synthetic inputs. All orders pass through these three stages in sequence.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 ht="23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 ht="62" customHeight="1">
      <x:c r="A5" s="8" t="str">
        <x:v>Process</x:v>
      </x:c>
      <x:c r="B5" s="8" t="str">
        <x:v>Units / order</x:v>
      </x:c>
      <x:c r="C5" s="8" t="str">
        <x:v>Units / productive
hour</x:v>
      </x:c>
      <x:c r="D5" s="8" t="str">
        <x:v>Baseline trained
heads</x:v>
      </x:c>
      <x:c r="E5" s="8" t="str">
        <x:v>Paid regular
hours / day</x:v>
      </x:c>
      <x:c r="F5" s="8" t="str">
        <x:v>Productive
hours / day</x:v>
      </x:c>
      <x:c r="G5" s="8" t="str">
        <x:v>Absence</x:v>
      </x:c>
      <x:c r="H5" s="8" t="str">
        <x:v>OT productive
share</x:v>
      </x:c>
      <x:c r="I5" s="8" t="str">
        <x:v>Max OT
hours / day</x:v>
      </x:c>
      <x:c r="J5" s="8" t="str">
        <x:v>Hourly labor
cost ($)</x:v>
      </x:c>
      <x:c r="K5" s="8" t="str">
        <x:v>OT pay
multiple</x:v>
      </x:c>
      <x:c r="L5" s="8" t="str">
        <x:v>Physical
orders / day</x:v>
      </x:c>
      <x:c r="M5" s="8" t="str">
        <x:v>Parallel
worker limit</x:v>
      </x:c>
      <x:c r="N5" s="8" t="str">
        <x:v>Cohort
start week</x:v>
      </x:c>
      <x:c r="O5" s="8" t="str">
        <x:v>Cohort heads</x:v>
      </x:c>
      <x:c r="P5" s="8" t="str">
        <x:v>Input errors</x:v>
      </x:c>
    </x:row>
    <x:row r="6" ht="23" customHeight="1">
      <x:c r="A6" s="10" t="str">
        <x:v>Pick</x:v>
      </x:c>
      <x:c r="B6" s="10" t="n">
        <x:v>1</x:v>
      </x:c>
      <x:c r="C6" s="10" t="n">
        <x:v>50</x:v>
      </x:c>
      <x:c r="D6" s="10" t="n">
        <x:v>24</x:v>
      </x:c>
      <x:c r="E6" s="10" t="n">
        <x:v>8</x:v>
      </x:c>
      <x:c r="F6" s="10" t="n">
        <x:v>6.5</x:v>
      </x:c>
      <x:c r="G6" s="12" t="n">
        <x:v>0.08</x:v>
      </x:c>
      <x:c r="H6" s="12" t="n">
        <x:v>0.9</x:v>
      </x:c>
      <x:c r="I6" s="10" t="n">
        <x:v>2</x:v>
      </x:c>
      <x:c r="J6" s="16" t="n">
        <x:v>24</x:v>
      </x:c>
      <x:c r="K6" s="10" t="n">
        <x:v>1.5</x:v>
      </x:c>
      <x:c r="L6" s="10" t="n">
        <x:v>10000</x:v>
      </x:c>
      <x:c r="M6" s="10" t="n">
        <x:v>32</x:v>
      </x:c>
      <x:c r="N6" s="10" t="n">
        <x:v>3</x:v>
      </x:c>
      <x:c r="O6" s="10" t="n">
        <x:v>4</x:v>
      </x:c>
      <x:c r="P6" s="1" t="n">
        <x:f>IF(AND(F6&lt;=E6,E6&gt;0,E6+I6&lt;=24,C6&gt;0,B6&gt;0,G6&lt;1,H6&lt;=1,K6&gt;=1,L6&gt;=0,M6&gt;=0,D6=INT(D6),M6=INT(M6),N6=INT(N6),N6&gt;=1,N6&lt;=13,O6=INT(O6)),0,1)</x:f>
        <x:v>0</x:v>
      </x:c>
    </x:row>
    <x:row r="7" ht="23" customHeight="1">
      <x:c r="A7" s="10" t="str">
        <x:v>Pack</x:v>
      </x:c>
      <x:c r="B7" s="10" t="n">
        <x:v>1</x:v>
      </x:c>
      <x:c r="C7" s="10" t="n">
        <x:v>60</x:v>
      </x:c>
      <x:c r="D7" s="10" t="n">
        <x:v>18</x:v>
      </x:c>
      <x:c r="E7" s="10" t="n">
        <x:v>8</x:v>
      </x:c>
      <x:c r="F7" s="10" t="n">
        <x:v>6.5</x:v>
      </x:c>
      <x:c r="G7" s="12" t="n">
        <x:v>0.08</x:v>
      </x:c>
      <x:c r="H7" s="12" t="n">
        <x:v>0.9</x:v>
      </x:c>
      <x:c r="I7" s="10" t="n">
        <x:v>2</x:v>
      </x:c>
      <x:c r="J7" s="16" t="n">
        <x:v>24</x:v>
      </x:c>
      <x:c r="K7" s="10" t="n">
        <x:v>1.5</x:v>
      </x:c>
      <x:c r="L7" s="10" t="n">
        <x:v>9000</x:v>
      </x:c>
      <x:c r="M7" s="10" t="n">
        <x:v>26</x:v>
      </x:c>
      <x:c r="N7" s="10" t="n">
        <x:v>3</x:v>
      </x:c>
      <x:c r="O7" s="10" t="n">
        <x:v>4</x:v>
      </x:c>
      <x:c r="P7" s="1" t="n">
        <x:f>IF(AND(F7&lt;=E7,E7&gt;0,E7+I7&lt;=24,C7&gt;0,B7&gt;0,G7&lt;1,H7&lt;=1,K7&gt;=1,L7&gt;=0,M7&gt;=0,D7=INT(D7),M7=INT(M7),N7=INT(N7),N7&gt;=1,N7&lt;=13,O7=INT(O7)),0,1)</x:f>
        <x:v>0</x:v>
      </x:c>
    </x:row>
    <x:row r="8" ht="23" customHeight="1">
      <x:c r="A8" s="10" t="str">
        <x:v>Ship</x:v>
      </x:c>
      <x:c r="B8" s="10" t="n">
        <x:v>1</x:v>
      </x:c>
      <x:c r="C8" s="10" t="n">
        <x:v>100</x:v>
      </x:c>
      <x:c r="D8" s="10" t="n">
        <x:v>10</x:v>
      </x:c>
      <x:c r="E8" s="10" t="n">
        <x:v>8</x:v>
      </x:c>
      <x:c r="F8" s="10" t="n">
        <x:v>6.5</x:v>
      </x:c>
      <x:c r="G8" s="12" t="n">
        <x:v>0.08</x:v>
      </x:c>
      <x:c r="H8" s="12" t="n">
        <x:v>0.9</x:v>
      </x:c>
      <x:c r="I8" s="10" t="n">
        <x:v>2</x:v>
      </x:c>
      <x:c r="J8" s="16" t="n">
        <x:v>26</x:v>
      </x:c>
      <x:c r="K8" s="10" t="n">
        <x:v>1.5</x:v>
      </x:c>
      <x:c r="L8" s="10" t="n">
        <x:v>8000</x:v>
      </x:c>
      <x:c r="M8" s="10" t="n">
        <x:v>16</x:v>
      </x:c>
      <x:c r="N8" s="10" t="n">
        <x:v>3</x:v>
      </x:c>
      <x:c r="O8" s="10" t="n">
        <x:v>3</x:v>
      </x:c>
      <x:c r="P8" s="1" t="n">
        <x:f>IF(AND(F8&lt;=E8,E8&gt;0,E8+I8&lt;=24,C8&gt;0,B8&gt;0,G8&lt;1,H8&lt;=1,K8&gt;=1,L8&gt;=0,M8&gt;=0,D8=INT(D8),M8=INT(M8),N8=INT(N8),N8&gt;=1,N8&lt;=13,O8=INT(O8)),0,1)</x:f>
        <x:v>0</x:v>
      </x:c>
    </x:row>
    <x:row r="9" ht="23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</x:row>
    <x:row r="10" ht="23" customHeight="1">
      <x:c r="A10" s="1" t="str">
        <x:v>Parallel worker limit caps workers deployed. Established workers get first allocation; excess planned people still incur modeled paid cost.</x:v>
      </x:c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</x:row>
    <x:row r="11" ht="23" customHeight="1">
      <x:c r="A11" s="1" t="str">
        <x:v>Physical orders/day is a separate process ceiling covering equipment, space, dock or carrier constraints. Enter a confirmed limit; no automatic infinity.</x:v>
      </x:c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</x:row>
    <x:row r="12" ht="23" customHeight="1">
      <x:c r="A12" s="1" t="str">
        <x:v>Use hire week 13 or cohort heads 0 for no new cohort. Weekly trained staffing excludes every person in the modeled cohort.</x:v>
      </x:c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</x:row>
    <x:row r="13" ht="23" customHeight="1">
      <x:c r="A13" s="1" t="str">
        <x:v>Hourly labor cost may be a loaded cost if supplied. OT pay multiple applies to that full entered rate; adjust rate/multiple to match local costing.</x:v>
      </x:c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</x:row>
    <x:row r="14" ht="23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</x:row>
  </x:sheetData>
  <x:conditionalFormatting sqref="P6:P8">
    <x:cfRule type="cellIs" dxfId="1" priority="1" operator="greaterThan">
      <x:formula>0</x:formula>
    </x:cfRule>
  </x:conditionalFormatting>
  <x:dataValidations count="2">
    <x:dataValidation type="whole" operator="between" sqref="D6:D8">
      <x:formula1>0</x:formula1>
      <x:formula2>100000</x:formula2>
    </x:dataValidation>
    <x:dataValidation type="whole" operator="between" sqref="M6:O8">
      <x:formula1>0</x:formula1>
      <x:formula2>100000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</x:cols>
  <x:sheetData>
    <x:row r="1" ht="31" customHeight="1">
      <x:c r="A1" s="2" t="str">
        <x:v>Weekly staffing plan</x:v>
      </x:c>
      <x:c r="B1" s="1"/>
      <x:c r="C1" s="1"/>
      <x:c r="D1" s="1"/>
      <x:c r="E1" s="1"/>
      <x:c r="F1" s="1"/>
      <x:c r="G1" s="1"/>
      <x:c r="H1" s="1"/>
      <x:c r="I1" s="1"/>
    </x:row>
    <x:row r="2" ht="23" customHeight="1">
      <x:c r="A2" s="3" t="str">
        <x:v>Synthetic inputs. Enter established heads and paid OT hours per attending worker per open day.</x:v>
      </x:c>
      <x:c r="B2" s="1"/>
      <x:c r="C2" s="1"/>
      <x:c r="D2" s="1"/>
      <x:c r="E2" s="1"/>
      <x:c r="F2" s="1"/>
      <x:c r="G2" s="1"/>
      <x:c r="H2" s="1"/>
      <x:c r="I2" s="1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3" customHeight="1">
      <x:c r="A4" s="1"/>
      <x:c r="B4" s="1"/>
      <x:c r="C4" s="1"/>
      <x:c r="D4" s="1"/>
      <x:c r="E4" s="1"/>
      <x:c r="F4" s="1"/>
      <x:c r="G4" s="1"/>
      <x:c r="H4" s="1"/>
      <x:c r="I4" s="1"/>
    </x:row>
    <x:row r="5" ht="42" customHeight="1">
      <x:c r="A5" s="8" t="str">
        <x:v>Week</x:v>
      </x:c>
      <x:c r="B5" s="8" t="str">
        <x:v>Starts</x:v>
      </x:c>
      <x:c r="C5" s="8" t="str">
        <x:v>Pick trained</x:v>
      </x:c>
      <x:c r="D5" s="8" t="str">
        <x:v>Pack trained</x:v>
      </x:c>
      <x:c r="E5" s="8" t="str">
        <x:v>Ship trained</x:v>
      </x:c>
      <x:c r="F5" s="8" t="str">
        <x:v>Pick OT hours</x:v>
      </x:c>
      <x:c r="G5" s="8" t="str">
        <x:v>Pack OT hours</x:v>
      </x:c>
      <x:c r="H5" s="8" t="str">
        <x:v>Ship OT hours</x:v>
      </x:c>
      <x:c r="I5" s="8" t="str">
        <x:v>Input errors</x:v>
      </x:c>
    </x:row>
    <x:row r="6" ht="23" customHeight="1">
      <x:c r="A6" s="1" t="n">
        <x:v>1</x:v>
      </x:c>
      <x:c r="B6" s="19" t="n">
        <x:f>IF('Setup'!$B$5="","",'Setup'!$B$5+(A6-1)*7)</x:f>
        <x:v>46300</x:v>
      </x:c>
      <x:c r="C6" s="18" t="n">
        <x:v>24</x:v>
      </x:c>
      <x:c r="D6" s="18" t="n">
        <x:v>18</x:v>
      </x:c>
      <x:c r="E6" s="18" t="n">
        <x:v>10</x:v>
      </x:c>
      <x:c r="F6" s="17" t="n">
        <x:v>0</x:v>
      </x:c>
      <x:c r="G6" s="17" t="n">
        <x:v>0</x:v>
      </x:c>
      <x:c r="H6" s="17" t="n">
        <x:v>0</x:v>
      </x:c>
      <x:c r="I6" s="1" t="n">
        <x:f>IF(AND(C6=INT(C6),D6=INT(D6),E6=INT(E6)),0,1)</x:f>
        <x:v>0</x:v>
      </x:c>
    </x:row>
    <x:row r="7" ht="23" customHeight="1">
      <x:c r="A7" s="1" t="n">
        <x:v>2</x:v>
      </x:c>
      <x:c r="B7" s="19" t="n">
        <x:f>IF('Setup'!$B$5="","",'Setup'!$B$5+(A7-1)*7)</x:f>
        <x:v>46307</x:v>
      </x:c>
      <x:c r="C7" s="18" t="n">
        <x:v>24</x:v>
      </x:c>
      <x:c r="D7" s="18" t="n">
        <x:v>18</x:v>
      </x:c>
      <x:c r="E7" s="18" t="n">
        <x:v>10</x:v>
      </x:c>
      <x:c r="F7" s="17" t="n">
        <x:v>0</x:v>
      </x:c>
      <x:c r="G7" s="17" t="n">
        <x:v>0</x:v>
      </x:c>
      <x:c r="H7" s="17" t="n">
        <x:v>0</x:v>
      </x:c>
      <x:c r="I7" s="1" t="n">
        <x:f>IF(AND(C7=INT(C7),D7=INT(D7),E7=INT(E7)),0,1)</x:f>
        <x:v>0</x:v>
      </x:c>
    </x:row>
    <x:row r="8" ht="23" customHeight="1">
      <x:c r="A8" s="1" t="n">
        <x:v>3</x:v>
      </x:c>
      <x:c r="B8" s="19" t="n">
        <x:f>IF('Setup'!$B$5="","",'Setup'!$B$5+(A8-1)*7)</x:f>
        <x:v>46314</x:v>
      </x:c>
      <x:c r="C8" s="18" t="n">
        <x:v>24</x:v>
      </x:c>
      <x:c r="D8" s="18" t="n">
        <x:v>18</x:v>
      </x:c>
      <x:c r="E8" s="18" t="n">
        <x:v>10</x:v>
      </x:c>
      <x:c r="F8" s="17" t="n">
        <x:v>0</x:v>
      </x:c>
      <x:c r="G8" s="17" t="n">
        <x:v>0</x:v>
      </x:c>
      <x:c r="H8" s="17" t="n">
        <x:v>0</x:v>
      </x:c>
      <x:c r="I8" s="1" t="n">
        <x:f>IF(AND(C8=INT(C8),D8=INT(D8),E8=INT(E8)),0,1)</x:f>
        <x:v>0</x:v>
      </x:c>
    </x:row>
    <x:row r="9" ht="23" customHeight="1">
      <x:c r="A9" s="1" t="n">
        <x:v>4</x:v>
      </x:c>
      <x:c r="B9" s="19" t="n">
        <x:f>IF('Setup'!$B$5="","",'Setup'!$B$5+(A9-1)*7)</x:f>
        <x:v>46321</x:v>
      </x:c>
      <x:c r="C9" s="18" t="n">
        <x:v>24</x:v>
      </x:c>
      <x:c r="D9" s="18" t="n">
        <x:v>18</x:v>
      </x:c>
      <x:c r="E9" s="18" t="n">
        <x:v>10</x:v>
      </x:c>
      <x:c r="F9" s="17" t="n">
        <x:v>0</x:v>
      </x:c>
      <x:c r="G9" s="17" t="n">
        <x:v>0</x:v>
      </x:c>
      <x:c r="H9" s="17" t="n">
        <x:v>0</x:v>
      </x:c>
      <x:c r="I9" s="1" t="n">
        <x:f>IF(AND(C9=INT(C9),D9=INT(D9),E9=INT(E9)),0,1)</x:f>
        <x:v>0</x:v>
      </x:c>
    </x:row>
    <x:row r="10" ht="23" customHeight="1">
      <x:c r="A10" s="1" t="n">
        <x:v>5</x:v>
      </x:c>
      <x:c r="B10" s="19" t="n">
        <x:f>IF('Setup'!$B$5="","",'Setup'!$B$5+(A10-1)*7)</x:f>
        <x:v>46328</x:v>
      </x:c>
      <x:c r="C10" s="18" t="n">
        <x:v>24</x:v>
      </x:c>
      <x:c r="D10" s="18" t="n">
        <x:v>18</x:v>
      </x:c>
      <x:c r="E10" s="18" t="n">
        <x:v>10</x:v>
      </x:c>
      <x:c r="F10" s="17" t="n">
        <x:v>1</x:v>
      </x:c>
      <x:c r="G10" s="17" t="n">
        <x:v>1</x:v>
      </x:c>
      <x:c r="H10" s="17" t="n">
        <x:v>1</x:v>
      </x:c>
      <x:c r="I10" s="1" t="n">
        <x:f>IF(AND(C10=INT(C10),D10=INT(D10),E10=INT(E10)),0,1)</x:f>
        <x:v>0</x:v>
      </x:c>
    </x:row>
    <x:row r="11" ht="23" customHeight="1">
      <x:c r="A11" s="1" t="n">
        <x:v>6</x:v>
      </x:c>
      <x:c r="B11" s="19" t="n">
        <x:f>IF('Setup'!$B$5="","",'Setup'!$B$5+(A11-1)*7)</x:f>
        <x:v>46335</x:v>
      </x:c>
      <x:c r="C11" s="18" t="n">
        <x:v>24</x:v>
      </x:c>
      <x:c r="D11" s="18" t="n">
        <x:v>18</x:v>
      </x:c>
      <x:c r="E11" s="18" t="n">
        <x:v>10</x:v>
      </x:c>
      <x:c r="F11" s="17" t="n">
        <x:v>1</x:v>
      </x:c>
      <x:c r="G11" s="17" t="n">
        <x:v>1</x:v>
      </x:c>
      <x:c r="H11" s="17" t="n">
        <x:v>1</x:v>
      </x:c>
      <x:c r="I11" s="1" t="n">
        <x:f>IF(AND(C11=INT(C11),D11=INT(D11),E11=INT(E11)),0,1)</x:f>
        <x:v>0</x:v>
      </x:c>
    </x:row>
    <x:row r="12" ht="23" customHeight="1">
      <x:c r="A12" s="1" t="n">
        <x:v>7</x:v>
      </x:c>
      <x:c r="B12" s="19" t="n">
        <x:f>IF('Setup'!$B$5="","",'Setup'!$B$5+(A12-1)*7)</x:f>
        <x:v>46342</x:v>
      </x:c>
      <x:c r="C12" s="18" t="n">
        <x:v>24</x:v>
      </x:c>
      <x:c r="D12" s="18" t="n">
        <x:v>18</x:v>
      </x:c>
      <x:c r="E12" s="18" t="n">
        <x:v>10</x:v>
      </x:c>
      <x:c r="F12" s="17" t="n">
        <x:v>1</x:v>
      </x:c>
      <x:c r="G12" s="17" t="n">
        <x:v>1</x:v>
      </x:c>
      <x:c r="H12" s="17" t="n">
        <x:v>1</x:v>
      </x:c>
      <x:c r="I12" s="1" t="n">
        <x:f>IF(AND(C12=INT(C12),D12=INT(D12),E12=INT(E12)),0,1)</x:f>
        <x:v>0</x:v>
      </x:c>
    </x:row>
    <x:row r="13" ht="23" customHeight="1">
      <x:c r="A13" s="1" t="n">
        <x:v>8</x:v>
      </x:c>
      <x:c r="B13" s="19" t="n">
        <x:f>IF('Setup'!$B$5="","",'Setup'!$B$5+(A13-1)*7)</x:f>
        <x:v>46349</x:v>
      </x:c>
      <x:c r="C13" s="18" t="n">
        <x:v>24</x:v>
      </x:c>
      <x:c r="D13" s="18" t="n">
        <x:v>18</x:v>
      </x:c>
      <x:c r="E13" s="18" t="n">
        <x:v>10</x:v>
      </x:c>
      <x:c r="F13" s="17" t="n">
        <x:v>1</x:v>
      </x:c>
      <x:c r="G13" s="17" t="n">
        <x:v>1</x:v>
      </x:c>
      <x:c r="H13" s="17" t="n">
        <x:v>1</x:v>
      </x:c>
      <x:c r="I13" s="1" t="n">
        <x:f>IF(AND(C13=INT(C13),D13=INT(D13),E13=INT(E13)),0,1)</x:f>
        <x:v>0</x:v>
      </x:c>
    </x:row>
    <x:row r="14" ht="23" customHeight="1">
      <x:c r="A14" s="1" t="n">
        <x:v>9</x:v>
      </x:c>
      <x:c r="B14" s="19" t="n">
        <x:f>IF('Setup'!$B$5="","",'Setup'!$B$5+(A14-1)*7)</x:f>
        <x:v>46356</x:v>
      </x:c>
      <x:c r="C14" s="18" t="n">
        <x:v>24</x:v>
      </x:c>
      <x:c r="D14" s="18" t="n">
        <x:v>18</x:v>
      </x:c>
      <x:c r="E14" s="18" t="n">
        <x:v>10</x:v>
      </x:c>
      <x:c r="F14" s="17" t="n">
        <x:v>1</x:v>
      </x:c>
      <x:c r="G14" s="17" t="n">
        <x:v>1</x:v>
      </x:c>
      <x:c r="H14" s="17" t="n">
        <x:v>1</x:v>
      </x:c>
      <x:c r="I14" s="1" t="n">
        <x:f>IF(AND(C14=INT(C14),D14=INT(D14),E14=INT(E14)),0,1)</x:f>
        <x:v>0</x:v>
      </x:c>
    </x:row>
    <x:row r="15" ht="23" customHeight="1">
      <x:c r="A15" s="1" t="n">
        <x:v>10</x:v>
      </x:c>
      <x:c r="B15" s="19" t="n">
        <x:f>IF('Setup'!$B$5="","",'Setup'!$B$5+(A15-1)*7)</x:f>
        <x:v>46363</x:v>
      </x:c>
      <x:c r="C15" s="18" t="n">
        <x:v>24</x:v>
      </x:c>
      <x:c r="D15" s="18" t="n">
        <x:v>18</x:v>
      </x:c>
      <x:c r="E15" s="18" t="n">
        <x:v>10</x:v>
      </x:c>
      <x:c r="F15" s="17" t="n">
        <x:v>0</x:v>
      </x:c>
      <x:c r="G15" s="17" t="n">
        <x:v>0</x:v>
      </x:c>
      <x:c r="H15" s="17" t="n">
        <x:v>0</x:v>
      </x:c>
      <x:c r="I15" s="1" t="n">
        <x:f>IF(AND(C15=INT(C15),D15=INT(D15),E15=INT(E15)),0,1)</x:f>
        <x:v>0</x:v>
      </x:c>
    </x:row>
    <x:row r="16" ht="23" customHeight="1">
      <x:c r="A16" s="1" t="n">
        <x:v>11</x:v>
      </x:c>
      <x:c r="B16" s="19" t="n">
        <x:f>IF('Setup'!$B$5="","",'Setup'!$B$5+(A16-1)*7)</x:f>
        <x:v>46370</x:v>
      </x:c>
      <x:c r="C16" s="18" t="n">
        <x:v>24</x:v>
      </x:c>
      <x:c r="D16" s="18" t="n">
        <x:v>18</x:v>
      </x:c>
      <x:c r="E16" s="18" t="n">
        <x:v>10</x:v>
      </x:c>
      <x:c r="F16" s="17" t="n">
        <x:v>0</x:v>
      </x:c>
      <x:c r="G16" s="17" t="n">
        <x:v>0</x:v>
      </x:c>
      <x:c r="H16" s="17" t="n">
        <x:v>0</x:v>
      </x:c>
      <x:c r="I16" s="1" t="n">
        <x:f>IF(AND(C16=INT(C16),D16=INT(D16),E16=INT(E16)),0,1)</x:f>
        <x:v>0</x:v>
      </x:c>
    </x:row>
    <x:row r="17" ht="23" customHeight="1">
      <x:c r="A17" s="1" t="n">
        <x:v>12</x:v>
      </x:c>
      <x:c r="B17" s="19" t="n">
        <x:f>IF('Setup'!$B$5="","",'Setup'!$B$5+(A17-1)*7)</x:f>
        <x:v>46377</x:v>
      </x:c>
      <x:c r="C17" s="18" t="n">
        <x:v>24</x:v>
      </x:c>
      <x:c r="D17" s="18" t="n">
        <x:v>18</x:v>
      </x:c>
      <x:c r="E17" s="18" t="n">
        <x:v>10</x:v>
      </x:c>
      <x:c r="F17" s="17" t="n">
        <x:v>0</x:v>
      </x:c>
      <x:c r="G17" s="17" t="n">
        <x:v>0</x:v>
      </x:c>
      <x:c r="H17" s="17" t="n">
        <x:v>0</x:v>
      </x:c>
      <x:c r="I17" s="1" t="n">
        <x:f>IF(AND(C17=INT(C17),D17=INT(D17),E17=INT(E17)),0,1)</x:f>
        <x:v>0</x:v>
      </x:c>
    </x:row>
    <x:row r="18" ht="23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3" customHeight="1">
      <x:c r="A19" s="1" t="str">
        <x:v>The same plan is tested under all scenarios. OT entered above each process limit is capped in capacity and paid cost and reported as an action.</x:v>
      </x:c>
      <x:c r="B19" s="1"/>
      <x:c r="C19" s="1"/>
      <x:c r="D19" s="1"/>
      <x:c r="E19" s="1"/>
      <x:c r="F19" s="1"/>
      <x:c r="G19" s="1"/>
      <x:c r="H19" s="1"/>
      <x:c r="I19" s="1"/>
    </x:row>
    <x:row r="20" ht="23" customHeight="1">
      <x:c r="A20" s="1" t="str">
        <x:v>Base regular labor cost uses baseline trained heads on Processes. Incremental cost includes changes in established heads, cohort wages and applied OT.</x:v>
      </x:c>
      <x:c r="B20" s="1"/>
      <x:c r="C20" s="1"/>
      <x:c r="D20" s="1"/>
      <x:c r="E20" s="1"/>
      <x:c r="F20" s="1"/>
      <x:c r="G20" s="1"/>
      <x:c r="H20" s="1"/>
      <x:c r="I20" s="1"/>
    </x:row>
    <x:row r="21" ht="23" customHeight="1">
      <x:c r="A21" s="1"/>
      <x:c r="B21" s="1"/>
      <x:c r="C21" s="1"/>
      <x:c r="D21" s="1"/>
      <x:c r="E21" s="1"/>
      <x:c r="F21" s="1"/>
      <x:c r="G21" s="1"/>
      <x:c r="H21" s="1"/>
      <x:c r="I21" s="1"/>
    </x:row>
  </x:sheetData>
  <x:conditionalFormatting sqref="I6:I17">
    <x:cfRule type="cellIs" dxfId="2" priority="1" operator="greaterThan">
      <x:formula>0</x:formula>
    </x:cfRule>
  </x:conditionalFormatting>
  <x:dataValidations count="1">
    <x:dataValidation type="whole" operator="between" sqref="C6:E17">
      <x:formula1>0</x:formula1>
      <x:formula2>100000</x:formula2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1" hidden="0" customWidth="1"/>
    <x:col min="2" max="2" width="16" hidden="0" customWidth="1"/>
    <x:col min="3" max="3" width="16" hidden="0" customWidth="1"/>
    <x:col min="4" max="4" width="23" hidden="0" customWidth="1"/>
    <x:col min="5" max="5" width="38" hidden="0" customWidth="1"/>
    <x:col min="6" max="6" width="16" hidden="0" customWidth="1"/>
  </x:cols>
  <x:sheetData>
    <x:row r="1" ht="31" customHeight="1">
      <x:c r="A1" s="2" t="str">
        <x:v>Daily demand</x:v>
      </x:c>
      <x:c r="B1" s="1"/>
      <x:c r="C1" s="1"/>
      <x:c r="D1" s="1"/>
      <x:c r="E1" s="1"/>
      <x:c r="F1" s="1"/>
    </x:row>
    <x:row r="2" ht="23" customHeight="1">
      <x:c r="A2" s="3" t="str">
        <x:v>Synthetic demonstration. Replace the 84 demand rows; dates and week numbers follow Setup.</x:v>
      </x:c>
      <x:c r="B2" s="1"/>
      <x:c r="C2" s="1"/>
      <x:c r="D2" s="1"/>
      <x:c r="E2" s="1"/>
      <x:c r="F2" s="1"/>
    </x:row>
    <x:row r="3" ht="23" customHeight="1">
      <x:c r="A3" s="4"/>
      <x:c r="B3" s="4"/>
      <x:c r="C3" s="4"/>
      <x:c r="D3" s="4"/>
      <x:c r="E3" s="4"/>
      <x:c r="F3" s="4"/>
    </x:row>
    <x:row r="4" ht="23" customHeight="1">
      <x:c r="A4" s="1"/>
      <x:c r="B4" s="1"/>
      <x:c r="C4" s="1"/>
      <x:c r="D4" s="1"/>
      <x:c r="E4" s="1"/>
      <x:c r="F4" s="1"/>
    </x:row>
    <x:row r="5" ht="42" customHeight="1">
      <x:c r="A5" s="8" t="str">
        <x:v>Date</x:v>
      </x:c>
      <x:c r="B5" s="8" t="str">
        <x:v>Week</x:v>
      </x:c>
      <x:c r="C5" s="8" t="str">
        <x:v>Open day (0/1)</x:v>
      </x:c>
      <x:c r="D5" s="8" t="str">
        <x:v>Base orders released</x:v>
      </x:c>
      <x:c r="E5" s="8" t="str">
        <x:v>Source / note</x:v>
      </x:c>
      <x:c r="F5" s="8" t="str">
        <x:v>Input errors</x:v>
      </x:c>
    </x:row>
    <x:row r="6" ht="23" customHeight="1">
      <x:c r="A6" s="20" t="n">
        <x:f>IF('Setup'!$B$5="","",'Setup'!$B$5+0)</x:f>
        <x:v>46300</x:v>
      </x:c>
      <x:c r="B6" s="1" t="n">
        <x:v>1</x:v>
      </x:c>
      <x:c r="C6" s="10" t="n">
        <x:v>1</x:v>
      </x:c>
      <x:c r="D6" s="21" t="n">
        <x:v>6500</x:v>
      </x:c>
      <x:c r="E6" s="10" t="str">
        <x:v>Synthetic example</x:v>
      </x:c>
      <x:c r="F6" s="1" t="n">
        <x:f>IF(AND(C6=INT(C6),D6=INT(D6)),0,1)</x:f>
        <x:v>0</x:v>
      </x:c>
    </x:row>
    <x:row r="7" ht="23" customHeight="1">
      <x:c r="A7" s="20" t="n">
        <x:f>IF('Setup'!$B$5="","",'Setup'!$B$5+1)</x:f>
        <x:v>46301</x:v>
      </x:c>
      <x:c r="B7" s="1" t="n">
        <x:v>1</x:v>
      </x:c>
      <x:c r="C7" s="10" t="n">
        <x:v>1</x:v>
      </x:c>
      <x:c r="D7" s="21" t="n">
        <x:v>6500</x:v>
      </x:c>
      <x:c r="E7" s="10" t="str">
        <x:v>Synthetic example</x:v>
      </x:c>
      <x:c r="F7" s="1" t="n">
        <x:f>IF(AND(C7=INT(C7),D7=INT(D7)),0,1)</x:f>
        <x:v>0</x:v>
      </x:c>
    </x:row>
    <x:row r="8" ht="23" customHeight="1">
      <x:c r="A8" s="20" t="n">
        <x:f>IF('Setup'!$B$5="","",'Setup'!$B$5+2)</x:f>
        <x:v>46302</x:v>
      </x:c>
      <x:c r="B8" s="1" t="n">
        <x:v>1</x:v>
      </x:c>
      <x:c r="C8" s="10" t="n">
        <x:v>1</x:v>
      </x:c>
      <x:c r="D8" s="21" t="n">
        <x:v>6500</x:v>
      </x:c>
      <x:c r="E8" s="10" t="str">
        <x:v>Synthetic example</x:v>
      </x:c>
      <x:c r="F8" s="1" t="n">
        <x:f>IF(AND(C8=INT(C8),D8=INT(D8)),0,1)</x:f>
        <x:v>0</x:v>
      </x:c>
    </x:row>
    <x:row r="9" ht="23" customHeight="1">
      <x:c r="A9" s="20" t="n">
        <x:f>IF('Setup'!$B$5="","",'Setup'!$B$5+3)</x:f>
        <x:v>46303</x:v>
      </x:c>
      <x:c r="B9" s="1" t="n">
        <x:v>1</x:v>
      </x:c>
      <x:c r="C9" s="10" t="n">
        <x:v>1</x:v>
      </x:c>
      <x:c r="D9" s="21" t="n">
        <x:v>6500</x:v>
      </x:c>
      <x:c r="E9" s="10" t="str">
        <x:v>Synthetic example</x:v>
      </x:c>
      <x:c r="F9" s="1" t="n">
        <x:f>IF(AND(C9=INT(C9),D9=INT(D9)),0,1)</x:f>
        <x:v>0</x:v>
      </x:c>
    </x:row>
    <x:row r="10" ht="23" customHeight="1">
      <x:c r="A10" s="20" t="n">
        <x:f>IF('Setup'!$B$5="","",'Setup'!$B$5+4)</x:f>
        <x:v>46304</x:v>
      </x:c>
      <x:c r="B10" s="1" t="n">
        <x:v>1</x:v>
      </x:c>
      <x:c r="C10" s="10" t="n">
        <x:v>1</x:v>
      </x:c>
      <x:c r="D10" s="21" t="n">
        <x:v>6500</x:v>
      </x:c>
      <x:c r="E10" s="10" t="str">
        <x:v>Synthetic example</x:v>
      </x:c>
      <x:c r="F10" s="1" t="n">
        <x:f>IF(AND(C10=INT(C10),D10=INT(D10)),0,1)</x:f>
        <x:v>0</x:v>
      </x:c>
    </x:row>
    <x:row r="11" ht="23" customHeight="1">
      <x:c r="A11" s="20" t="n">
        <x:f>IF('Setup'!$B$5="","",'Setup'!$B$5+5)</x:f>
        <x:v>46305</x:v>
      </x:c>
      <x:c r="B11" s="1" t="n">
        <x:v>1</x:v>
      </x:c>
      <x:c r="C11" s="10" t="n">
        <x:v>0</x:v>
      </x:c>
      <x:c r="D11" s="21" t="n">
        <x:v>0</x:v>
      </x:c>
      <x:c r="E11" s="10" t="str">
        <x:v>Synthetic example</x:v>
      </x:c>
      <x:c r="F11" s="1" t="n">
        <x:f>IF(AND(C11=INT(C11),D11=INT(D11)),0,1)</x:f>
        <x:v>0</x:v>
      </x:c>
    </x:row>
    <x:row r="12" ht="23" customHeight="1">
      <x:c r="A12" s="20" t="n">
        <x:f>IF('Setup'!$B$5="","",'Setup'!$B$5+6)</x:f>
        <x:v>46306</x:v>
      </x:c>
      <x:c r="B12" s="1" t="n">
        <x:v>1</x:v>
      </x:c>
      <x:c r="C12" s="10" t="n">
        <x:v>0</x:v>
      </x:c>
      <x:c r="D12" s="21" t="n">
        <x:v>0</x:v>
      </x:c>
      <x:c r="E12" s="10" t="str">
        <x:v>Synthetic example</x:v>
      </x:c>
      <x:c r="F12" s="1" t="n">
        <x:f>IF(AND(C12=INT(C12),D12=INT(D12)),0,1)</x:f>
        <x:v>0</x:v>
      </x:c>
    </x:row>
    <x:row r="13" ht="23" customHeight="1">
      <x:c r="A13" s="20" t="n">
        <x:f>IF('Setup'!$B$5="","",'Setup'!$B$5+7)</x:f>
        <x:v>46307</x:v>
      </x:c>
      <x:c r="B13" s="1" t="n">
        <x:v>2</x:v>
      </x:c>
      <x:c r="C13" s="10" t="n">
        <x:v>1</x:v>
      </x:c>
      <x:c r="D13" s="21" t="n">
        <x:v>7000</x:v>
      </x:c>
      <x:c r="E13" s="10" t="str">
        <x:v>Synthetic example</x:v>
      </x:c>
      <x:c r="F13" s="1" t="n">
        <x:f>IF(AND(C13=INT(C13),D13=INT(D13)),0,1)</x:f>
        <x:v>0</x:v>
      </x:c>
    </x:row>
    <x:row r="14" ht="23" customHeight="1">
      <x:c r="A14" s="20" t="n">
        <x:f>IF('Setup'!$B$5="","",'Setup'!$B$5+8)</x:f>
        <x:v>46308</x:v>
      </x:c>
      <x:c r="B14" s="1" t="n">
        <x:v>2</x:v>
      </x:c>
      <x:c r="C14" s="10" t="n">
        <x:v>1</x:v>
      </x:c>
      <x:c r="D14" s="21" t="n">
        <x:v>7000</x:v>
      </x:c>
      <x:c r="E14" s="10" t="str">
        <x:v>Synthetic example</x:v>
      </x:c>
      <x:c r="F14" s="1" t="n">
        <x:f>IF(AND(C14=INT(C14),D14=INT(D14)),0,1)</x:f>
        <x:v>0</x:v>
      </x:c>
    </x:row>
    <x:row r="15" ht="23" customHeight="1">
      <x:c r="A15" s="20" t="n">
        <x:f>IF('Setup'!$B$5="","",'Setup'!$B$5+9)</x:f>
        <x:v>46309</x:v>
      </x:c>
      <x:c r="B15" s="1" t="n">
        <x:v>2</x:v>
      </x:c>
      <x:c r="C15" s="10" t="n">
        <x:v>1</x:v>
      </x:c>
      <x:c r="D15" s="21" t="n">
        <x:v>7000</x:v>
      </x:c>
      <x:c r="E15" s="10" t="str">
        <x:v>Synthetic example</x:v>
      </x:c>
      <x:c r="F15" s="1" t="n">
        <x:f>IF(AND(C15=INT(C15),D15=INT(D15)),0,1)</x:f>
        <x:v>0</x:v>
      </x:c>
    </x:row>
    <x:row r="16" ht="23" customHeight="1">
      <x:c r="A16" s="20" t="n">
        <x:f>IF('Setup'!$B$5="","",'Setup'!$B$5+10)</x:f>
        <x:v>46310</x:v>
      </x:c>
      <x:c r="B16" s="1" t="n">
        <x:v>2</x:v>
      </x:c>
      <x:c r="C16" s="10" t="n">
        <x:v>1</x:v>
      </x:c>
      <x:c r="D16" s="21" t="n">
        <x:v>7000</x:v>
      </x:c>
      <x:c r="E16" s="10" t="str">
        <x:v>Synthetic example</x:v>
      </x:c>
      <x:c r="F16" s="1" t="n">
        <x:f>IF(AND(C16=INT(C16),D16=INT(D16)),0,1)</x:f>
        <x:v>0</x:v>
      </x:c>
    </x:row>
    <x:row r="17" ht="23" customHeight="1">
      <x:c r="A17" s="20" t="n">
        <x:f>IF('Setup'!$B$5="","",'Setup'!$B$5+11)</x:f>
        <x:v>46311</x:v>
      </x:c>
      <x:c r="B17" s="1" t="n">
        <x:v>2</x:v>
      </x:c>
      <x:c r="C17" s="10" t="n">
        <x:v>1</x:v>
      </x:c>
      <x:c r="D17" s="21" t="n">
        <x:v>7000</x:v>
      </x:c>
      <x:c r="E17" s="10" t="str">
        <x:v>Synthetic example</x:v>
      </x:c>
      <x:c r="F17" s="1" t="n">
        <x:f>IF(AND(C17=INT(C17),D17=INT(D17)),0,1)</x:f>
        <x:v>0</x:v>
      </x:c>
    </x:row>
    <x:row r="18" ht="23" customHeight="1">
      <x:c r="A18" s="20" t="n">
        <x:f>IF('Setup'!$B$5="","",'Setup'!$B$5+12)</x:f>
        <x:v>46312</x:v>
      </x:c>
      <x:c r="B18" s="1" t="n">
        <x:v>2</x:v>
      </x:c>
      <x:c r="C18" s="10" t="n">
        <x:v>0</x:v>
      </x:c>
      <x:c r="D18" s="21" t="n">
        <x:v>0</x:v>
      </x:c>
      <x:c r="E18" s="10" t="str">
        <x:v>Synthetic example</x:v>
      </x:c>
      <x:c r="F18" s="1" t="n">
        <x:f>IF(AND(C18=INT(C18),D18=INT(D18)),0,1)</x:f>
        <x:v>0</x:v>
      </x:c>
    </x:row>
    <x:row r="19" ht="23" customHeight="1">
      <x:c r="A19" s="20" t="n">
        <x:f>IF('Setup'!$B$5="","",'Setup'!$B$5+13)</x:f>
        <x:v>46313</x:v>
      </x:c>
      <x:c r="B19" s="1" t="n">
        <x:v>2</x:v>
      </x:c>
      <x:c r="C19" s="10" t="n">
        <x:v>0</x:v>
      </x:c>
      <x:c r="D19" s="21" t="n">
        <x:v>0</x:v>
      </x:c>
      <x:c r="E19" s="10" t="str">
        <x:v>Synthetic example</x:v>
      </x:c>
      <x:c r="F19" s="1" t="n">
        <x:f>IF(AND(C19=INT(C19),D19=INT(D19)),0,1)</x:f>
        <x:v>0</x:v>
      </x:c>
    </x:row>
    <x:row r="20" ht="23" customHeight="1">
      <x:c r="A20" s="20" t="n">
        <x:f>IF('Setup'!$B$5="","",'Setup'!$B$5+14)</x:f>
        <x:v>46314</x:v>
      </x:c>
      <x:c r="B20" s="1" t="n">
        <x:v>3</x:v>
      </x:c>
      <x:c r="C20" s="10" t="n">
        <x:v>1</x:v>
      </x:c>
      <x:c r="D20" s="21" t="n">
        <x:v>8000</x:v>
      </x:c>
      <x:c r="E20" s="10" t="str">
        <x:v>Synthetic example</x:v>
      </x:c>
      <x:c r="F20" s="1" t="n">
        <x:f>IF(AND(C20=INT(C20),D20=INT(D20)),0,1)</x:f>
        <x:v>0</x:v>
      </x:c>
    </x:row>
    <x:row r="21" ht="23" customHeight="1">
      <x:c r="A21" s="20" t="n">
        <x:f>IF('Setup'!$B$5="","",'Setup'!$B$5+15)</x:f>
        <x:v>46315</x:v>
      </x:c>
      <x:c r="B21" s="1" t="n">
        <x:v>3</x:v>
      </x:c>
      <x:c r="C21" s="10" t="n">
        <x:v>1</x:v>
      </x:c>
      <x:c r="D21" s="21" t="n">
        <x:v>8000</x:v>
      </x:c>
      <x:c r="E21" s="10" t="str">
        <x:v>Synthetic example</x:v>
      </x:c>
      <x:c r="F21" s="1" t="n">
        <x:f>IF(AND(C21=INT(C21),D21=INT(D21)),0,1)</x:f>
        <x:v>0</x:v>
      </x:c>
    </x:row>
    <x:row r="22" ht="23" customHeight="1">
      <x:c r="A22" s="20" t="n">
        <x:f>IF('Setup'!$B$5="","",'Setup'!$B$5+16)</x:f>
        <x:v>46316</x:v>
      </x:c>
      <x:c r="B22" s="1" t="n">
        <x:v>3</x:v>
      </x:c>
      <x:c r="C22" s="10" t="n">
        <x:v>1</x:v>
      </x:c>
      <x:c r="D22" s="21" t="n">
        <x:v>8000</x:v>
      </x:c>
      <x:c r="E22" s="10" t="str">
        <x:v>Synthetic example</x:v>
      </x:c>
      <x:c r="F22" s="1" t="n">
        <x:f>IF(AND(C22=INT(C22),D22=INT(D22)),0,1)</x:f>
        <x:v>0</x:v>
      </x:c>
    </x:row>
    <x:row r="23" ht="23" customHeight="1">
      <x:c r="A23" s="20" t="n">
        <x:f>IF('Setup'!$B$5="","",'Setup'!$B$5+17)</x:f>
        <x:v>46317</x:v>
      </x:c>
      <x:c r="B23" s="1" t="n">
        <x:v>3</x:v>
      </x:c>
      <x:c r="C23" s="10" t="n">
        <x:v>1</x:v>
      </x:c>
      <x:c r="D23" s="21" t="n">
        <x:v>8000</x:v>
      </x:c>
      <x:c r="E23" s="10" t="str">
        <x:v>Synthetic example</x:v>
      </x:c>
      <x:c r="F23" s="1" t="n">
        <x:f>IF(AND(C23=INT(C23),D23=INT(D23)),0,1)</x:f>
        <x:v>0</x:v>
      </x:c>
    </x:row>
    <x:row r="24" ht="23" customHeight="1">
      <x:c r="A24" s="20" t="n">
        <x:f>IF('Setup'!$B$5="","",'Setup'!$B$5+18)</x:f>
        <x:v>46318</x:v>
      </x:c>
      <x:c r="B24" s="1" t="n">
        <x:v>3</x:v>
      </x:c>
      <x:c r="C24" s="10" t="n">
        <x:v>1</x:v>
      </x:c>
      <x:c r="D24" s="21" t="n">
        <x:v>8000</x:v>
      </x:c>
      <x:c r="E24" s="10" t="str">
        <x:v>Synthetic example</x:v>
      </x:c>
      <x:c r="F24" s="1" t="n">
        <x:f>IF(AND(C24=INT(C24),D24=INT(D24)),0,1)</x:f>
        <x:v>0</x:v>
      </x:c>
    </x:row>
    <x:row r="25" ht="23" customHeight="1">
      <x:c r="A25" s="20" t="n">
        <x:f>IF('Setup'!$B$5="","",'Setup'!$B$5+19)</x:f>
        <x:v>46319</x:v>
      </x:c>
      <x:c r="B25" s="1" t="n">
        <x:v>3</x:v>
      </x:c>
      <x:c r="C25" s="10" t="n">
        <x:v>0</x:v>
      </x:c>
      <x:c r="D25" s="21" t="n">
        <x:v>0</x:v>
      </x:c>
      <x:c r="E25" s="10" t="str">
        <x:v>Synthetic example</x:v>
      </x:c>
      <x:c r="F25" s="1" t="n">
        <x:f>IF(AND(C25=INT(C25),D25=INT(D25)),0,1)</x:f>
        <x:v>0</x:v>
      </x:c>
    </x:row>
    <x:row r="26" ht="23" customHeight="1">
      <x:c r="A26" s="20" t="n">
        <x:f>IF('Setup'!$B$5="","",'Setup'!$B$5+20)</x:f>
        <x:v>46320</x:v>
      </x:c>
      <x:c r="B26" s="1" t="n">
        <x:v>3</x:v>
      </x:c>
      <x:c r="C26" s="10" t="n">
        <x:v>0</x:v>
      </x:c>
      <x:c r="D26" s="21" t="n">
        <x:v>0</x:v>
      </x:c>
      <x:c r="E26" s="10" t="str">
        <x:v>Synthetic example</x:v>
      </x:c>
      <x:c r="F26" s="1" t="n">
        <x:f>IF(AND(C26=INT(C26),D26=INT(D26)),0,1)</x:f>
        <x:v>0</x:v>
      </x:c>
    </x:row>
    <x:row r="27" ht="23" customHeight="1">
      <x:c r="A27" s="20" t="n">
        <x:f>IF('Setup'!$B$5="","",'Setup'!$B$5+21)</x:f>
        <x:v>46321</x:v>
      </x:c>
      <x:c r="B27" s="1" t="n">
        <x:v>4</x:v>
      </x:c>
      <x:c r="C27" s="10" t="n">
        <x:v>1</x:v>
      </x:c>
      <x:c r="D27" s="21" t="n">
        <x:v>8500</x:v>
      </x:c>
      <x:c r="E27" s="10" t="str">
        <x:v>Synthetic example</x:v>
      </x:c>
      <x:c r="F27" s="1" t="n">
        <x:f>IF(AND(C27=INT(C27),D27=INT(D27)),0,1)</x:f>
        <x:v>0</x:v>
      </x:c>
    </x:row>
    <x:row r="28" ht="23" customHeight="1">
      <x:c r="A28" s="20" t="n">
        <x:f>IF('Setup'!$B$5="","",'Setup'!$B$5+22)</x:f>
        <x:v>46322</x:v>
      </x:c>
      <x:c r="B28" s="1" t="n">
        <x:v>4</x:v>
      </x:c>
      <x:c r="C28" s="10" t="n">
        <x:v>1</x:v>
      </x:c>
      <x:c r="D28" s="21" t="n">
        <x:v>8500</x:v>
      </x:c>
      <x:c r="E28" s="10" t="str">
        <x:v>Synthetic example</x:v>
      </x:c>
      <x:c r="F28" s="1" t="n">
        <x:f>IF(AND(C28=INT(C28),D28=INT(D28)),0,1)</x:f>
        <x:v>0</x:v>
      </x:c>
    </x:row>
    <x:row r="29" ht="23" customHeight="1">
      <x:c r="A29" s="20" t="n">
        <x:f>IF('Setup'!$B$5="","",'Setup'!$B$5+23)</x:f>
        <x:v>46323</x:v>
      </x:c>
      <x:c r="B29" s="1" t="n">
        <x:v>4</x:v>
      </x:c>
      <x:c r="C29" s="10" t="n">
        <x:v>1</x:v>
      </x:c>
      <x:c r="D29" s="21" t="n">
        <x:v>8500</x:v>
      </x:c>
      <x:c r="E29" s="10" t="str">
        <x:v>Synthetic example</x:v>
      </x:c>
      <x:c r="F29" s="1" t="n">
        <x:f>IF(AND(C29=INT(C29),D29=INT(D29)),0,1)</x:f>
        <x:v>0</x:v>
      </x:c>
    </x:row>
    <x:row r="30" ht="23" customHeight="1">
      <x:c r="A30" s="20" t="n">
        <x:f>IF('Setup'!$B$5="","",'Setup'!$B$5+24)</x:f>
        <x:v>46324</x:v>
      </x:c>
      <x:c r="B30" s="1" t="n">
        <x:v>4</x:v>
      </x:c>
      <x:c r="C30" s="10" t="n">
        <x:v>1</x:v>
      </x:c>
      <x:c r="D30" s="21" t="n">
        <x:v>8500</x:v>
      </x:c>
      <x:c r="E30" s="10" t="str">
        <x:v>Synthetic example</x:v>
      </x:c>
      <x:c r="F30" s="1" t="n">
        <x:f>IF(AND(C30=INT(C30),D30=INT(D30)),0,1)</x:f>
        <x:v>0</x:v>
      </x:c>
    </x:row>
    <x:row r="31" ht="23" customHeight="1">
      <x:c r="A31" s="20" t="n">
        <x:f>IF('Setup'!$B$5="","",'Setup'!$B$5+25)</x:f>
        <x:v>46325</x:v>
      </x:c>
      <x:c r="B31" s="1" t="n">
        <x:v>4</x:v>
      </x:c>
      <x:c r="C31" s="10" t="n">
        <x:v>1</x:v>
      </x:c>
      <x:c r="D31" s="21" t="n">
        <x:v>8500</x:v>
      </x:c>
      <x:c r="E31" s="10" t="str">
        <x:v>Synthetic example</x:v>
      </x:c>
      <x:c r="F31" s="1" t="n">
        <x:f>IF(AND(C31=INT(C31),D31=INT(D31)),0,1)</x:f>
        <x:v>0</x:v>
      </x:c>
    </x:row>
    <x:row r="32" ht="23" customHeight="1">
      <x:c r="A32" s="20" t="n">
        <x:f>IF('Setup'!$B$5="","",'Setup'!$B$5+26)</x:f>
        <x:v>46326</x:v>
      </x:c>
      <x:c r="B32" s="1" t="n">
        <x:v>4</x:v>
      </x:c>
      <x:c r="C32" s="10" t="n">
        <x:v>0</x:v>
      </x:c>
      <x:c r="D32" s="21" t="n">
        <x:v>0</x:v>
      </x:c>
      <x:c r="E32" s="10" t="str">
        <x:v>Synthetic example</x:v>
      </x:c>
      <x:c r="F32" s="1" t="n">
        <x:f>IF(AND(C32=INT(C32),D32=INT(D32)),0,1)</x:f>
        <x:v>0</x:v>
      </x:c>
    </x:row>
    <x:row r="33" ht="23" customHeight="1">
      <x:c r="A33" s="20" t="n">
        <x:f>IF('Setup'!$B$5="","",'Setup'!$B$5+27)</x:f>
        <x:v>46327</x:v>
      </x:c>
      <x:c r="B33" s="1" t="n">
        <x:v>4</x:v>
      </x:c>
      <x:c r="C33" s="10" t="n">
        <x:v>0</x:v>
      </x:c>
      <x:c r="D33" s="21" t="n">
        <x:v>0</x:v>
      </x:c>
      <x:c r="E33" s="10" t="str">
        <x:v>Synthetic example</x:v>
      </x:c>
      <x:c r="F33" s="1" t="n">
        <x:f>IF(AND(C33=INT(C33),D33=INT(D33)),0,1)</x:f>
        <x:v>0</x:v>
      </x:c>
    </x:row>
    <x:row r="34" ht="23" customHeight="1">
      <x:c r="A34" s="20" t="n">
        <x:f>IF('Setup'!$B$5="","",'Setup'!$B$5+28)</x:f>
        <x:v>46328</x:v>
      </x:c>
      <x:c r="B34" s="1" t="n">
        <x:v>5</x:v>
      </x:c>
      <x:c r="C34" s="10" t="n">
        <x:v>1</x:v>
      </x:c>
      <x:c r="D34" s="21" t="n">
        <x:v>9000</x:v>
      </x:c>
      <x:c r="E34" s="10" t="str">
        <x:v>Synthetic example</x:v>
      </x:c>
      <x:c r="F34" s="1" t="n">
        <x:f>IF(AND(C34=INT(C34),D34=INT(D34)),0,1)</x:f>
        <x:v>0</x:v>
      </x:c>
    </x:row>
    <x:row r="35" ht="23" customHeight="1">
      <x:c r="A35" s="20" t="n">
        <x:f>IF('Setup'!$B$5="","",'Setup'!$B$5+29)</x:f>
        <x:v>46329</x:v>
      </x:c>
      <x:c r="B35" s="1" t="n">
        <x:v>5</x:v>
      </x:c>
      <x:c r="C35" s="10" t="n">
        <x:v>1</x:v>
      </x:c>
      <x:c r="D35" s="21" t="n">
        <x:v>9000</x:v>
      </x:c>
      <x:c r="E35" s="10" t="str">
        <x:v>Synthetic example</x:v>
      </x:c>
      <x:c r="F35" s="1" t="n">
        <x:f>IF(AND(C35=INT(C35),D35=INT(D35)),0,1)</x:f>
        <x:v>0</x:v>
      </x:c>
    </x:row>
    <x:row r="36" ht="23" customHeight="1">
      <x:c r="A36" s="20" t="n">
        <x:f>IF('Setup'!$B$5="","",'Setup'!$B$5+30)</x:f>
        <x:v>46330</x:v>
      </x:c>
      <x:c r="B36" s="1" t="n">
        <x:v>5</x:v>
      </x:c>
      <x:c r="C36" s="10" t="n">
        <x:v>1</x:v>
      </x:c>
      <x:c r="D36" s="21" t="n">
        <x:v>9000</x:v>
      </x:c>
      <x:c r="E36" s="10" t="str">
        <x:v>Synthetic example</x:v>
      </x:c>
      <x:c r="F36" s="1" t="n">
        <x:f>IF(AND(C36=INT(C36),D36=INT(D36)),0,1)</x:f>
        <x:v>0</x:v>
      </x:c>
    </x:row>
    <x:row r="37" ht="23" customHeight="1">
      <x:c r="A37" s="20" t="n">
        <x:f>IF('Setup'!$B$5="","",'Setup'!$B$5+31)</x:f>
        <x:v>46331</x:v>
      </x:c>
      <x:c r="B37" s="1" t="n">
        <x:v>5</x:v>
      </x:c>
      <x:c r="C37" s="10" t="n">
        <x:v>1</x:v>
      </x:c>
      <x:c r="D37" s="21" t="n">
        <x:v>9000</x:v>
      </x:c>
      <x:c r="E37" s="10" t="str">
        <x:v>Synthetic example</x:v>
      </x:c>
      <x:c r="F37" s="1" t="n">
        <x:f>IF(AND(C37=INT(C37),D37=INT(D37)),0,1)</x:f>
        <x:v>0</x:v>
      </x:c>
    </x:row>
    <x:row r="38" ht="23" customHeight="1">
      <x:c r="A38" s="20" t="n">
        <x:f>IF('Setup'!$B$5="","",'Setup'!$B$5+32)</x:f>
        <x:v>46332</x:v>
      </x:c>
      <x:c r="B38" s="1" t="n">
        <x:v>5</x:v>
      </x:c>
      <x:c r="C38" s="10" t="n">
        <x:v>1</x:v>
      </x:c>
      <x:c r="D38" s="21" t="n">
        <x:v>9000</x:v>
      </x:c>
      <x:c r="E38" s="10" t="str">
        <x:v>Synthetic example</x:v>
      </x:c>
      <x:c r="F38" s="1" t="n">
        <x:f>IF(AND(C38=INT(C38),D38=INT(D38)),0,1)</x:f>
        <x:v>0</x:v>
      </x:c>
    </x:row>
    <x:row r="39" ht="23" customHeight="1">
      <x:c r="A39" s="20" t="n">
        <x:f>IF('Setup'!$B$5="","",'Setup'!$B$5+33)</x:f>
        <x:v>46333</x:v>
      </x:c>
      <x:c r="B39" s="1" t="n">
        <x:v>5</x:v>
      </x:c>
      <x:c r="C39" s="10" t="n">
        <x:v>0</x:v>
      </x:c>
      <x:c r="D39" s="21" t="n">
        <x:v>0</x:v>
      </x:c>
      <x:c r="E39" s="10" t="str">
        <x:v>Synthetic example</x:v>
      </x:c>
      <x:c r="F39" s="1" t="n">
        <x:f>IF(AND(C39=INT(C39),D39=INT(D39)),0,1)</x:f>
        <x:v>0</x:v>
      </x:c>
    </x:row>
    <x:row r="40" ht="23" customHeight="1">
      <x:c r="A40" s="20" t="n">
        <x:f>IF('Setup'!$B$5="","",'Setup'!$B$5+34)</x:f>
        <x:v>46334</x:v>
      </x:c>
      <x:c r="B40" s="1" t="n">
        <x:v>5</x:v>
      </x:c>
      <x:c r="C40" s="10" t="n">
        <x:v>0</x:v>
      </x:c>
      <x:c r="D40" s="21" t="n">
        <x:v>0</x:v>
      </x:c>
      <x:c r="E40" s="10" t="str">
        <x:v>Synthetic example</x:v>
      </x:c>
      <x:c r="F40" s="1" t="n">
        <x:f>IF(AND(C40=INT(C40),D40=INT(D40)),0,1)</x:f>
        <x:v>0</x:v>
      </x:c>
    </x:row>
    <x:row r="41" ht="23" customHeight="1">
      <x:c r="A41" s="20" t="n">
        <x:f>IF('Setup'!$B$5="","",'Setup'!$B$5+35)</x:f>
        <x:v>46335</x:v>
      </x:c>
      <x:c r="B41" s="1" t="n">
        <x:v>6</x:v>
      </x:c>
      <x:c r="C41" s="10" t="n">
        <x:v>1</x:v>
      </x:c>
      <x:c r="D41" s="21" t="n">
        <x:v>11000</x:v>
      </x:c>
      <x:c r="E41" s="10" t="str">
        <x:v>Synthetic example</x:v>
      </x:c>
      <x:c r="F41" s="1" t="n">
        <x:f>IF(AND(C41=INT(C41),D41=INT(D41)),0,1)</x:f>
        <x:v>0</x:v>
      </x:c>
    </x:row>
    <x:row r="42" ht="23" customHeight="1">
      <x:c r="A42" s="20" t="n">
        <x:f>IF('Setup'!$B$5="","",'Setup'!$B$5+36)</x:f>
        <x:v>46336</x:v>
      </x:c>
      <x:c r="B42" s="1" t="n">
        <x:v>6</x:v>
      </x:c>
      <x:c r="C42" s="10" t="n">
        <x:v>1</x:v>
      </x:c>
      <x:c r="D42" s="21" t="n">
        <x:v>11000</x:v>
      </x:c>
      <x:c r="E42" s="10" t="str">
        <x:v>Synthetic example</x:v>
      </x:c>
      <x:c r="F42" s="1" t="n">
        <x:f>IF(AND(C42=INT(C42),D42=INT(D42)),0,1)</x:f>
        <x:v>0</x:v>
      </x:c>
    </x:row>
    <x:row r="43" ht="23" customHeight="1">
      <x:c r="A43" s="20" t="n">
        <x:f>IF('Setup'!$B$5="","",'Setup'!$B$5+37)</x:f>
        <x:v>46337</x:v>
      </x:c>
      <x:c r="B43" s="1" t="n">
        <x:v>6</x:v>
      </x:c>
      <x:c r="C43" s="10" t="n">
        <x:v>1</x:v>
      </x:c>
      <x:c r="D43" s="21" t="n">
        <x:v>11000</x:v>
      </x:c>
      <x:c r="E43" s="10" t="str">
        <x:v>Synthetic example</x:v>
      </x:c>
      <x:c r="F43" s="1" t="n">
        <x:f>IF(AND(C43=INT(C43),D43=INT(D43)),0,1)</x:f>
        <x:v>0</x:v>
      </x:c>
    </x:row>
    <x:row r="44" ht="23" customHeight="1">
      <x:c r="A44" s="20" t="n">
        <x:f>IF('Setup'!$B$5="","",'Setup'!$B$5+38)</x:f>
        <x:v>46338</x:v>
      </x:c>
      <x:c r="B44" s="1" t="n">
        <x:v>6</x:v>
      </x:c>
      <x:c r="C44" s="10" t="n">
        <x:v>1</x:v>
      </x:c>
      <x:c r="D44" s="21" t="n">
        <x:v>11000</x:v>
      </x:c>
      <x:c r="E44" s="10" t="str">
        <x:v>Synthetic example</x:v>
      </x:c>
      <x:c r="F44" s="1" t="n">
        <x:f>IF(AND(C44=INT(C44),D44=INT(D44)),0,1)</x:f>
        <x:v>0</x:v>
      </x:c>
    </x:row>
    <x:row r="45" ht="23" customHeight="1">
      <x:c r="A45" s="20" t="n">
        <x:f>IF('Setup'!$B$5="","",'Setup'!$B$5+39)</x:f>
        <x:v>46339</x:v>
      </x:c>
      <x:c r="B45" s="1" t="n">
        <x:v>6</x:v>
      </x:c>
      <x:c r="C45" s="10" t="n">
        <x:v>1</x:v>
      </x:c>
      <x:c r="D45" s="21" t="n">
        <x:v>11000</x:v>
      </x:c>
      <x:c r="E45" s="10" t="str">
        <x:v>Synthetic example</x:v>
      </x:c>
      <x:c r="F45" s="1" t="n">
        <x:f>IF(AND(C45=INT(C45),D45=INT(D45)),0,1)</x:f>
        <x:v>0</x:v>
      </x:c>
    </x:row>
    <x:row r="46" ht="23" customHeight="1">
      <x:c r="A46" s="20" t="n">
        <x:f>IF('Setup'!$B$5="","",'Setup'!$B$5+40)</x:f>
        <x:v>46340</x:v>
      </x:c>
      <x:c r="B46" s="1" t="n">
        <x:v>6</x:v>
      </x:c>
      <x:c r="C46" s="10" t="n">
        <x:v>0</x:v>
      </x:c>
      <x:c r="D46" s="21" t="n">
        <x:v>0</x:v>
      </x:c>
      <x:c r="E46" s="10" t="str">
        <x:v>Synthetic example</x:v>
      </x:c>
      <x:c r="F46" s="1" t="n">
        <x:f>IF(AND(C46=INT(C46),D46=INT(D46)),0,1)</x:f>
        <x:v>0</x:v>
      </x:c>
    </x:row>
    <x:row r="47" ht="23" customHeight="1">
      <x:c r="A47" s="20" t="n">
        <x:f>IF('Setup'!$B$5="","",'Setup'!$B$5+41)</x:f>
        <x:v>46341</x:v>
      </x:c>
      <x:c r="B47" s="1" t="n">
        <x:v>6</x:v>
      </x:c>
      <x:c r="C47" s="10" t="n">
        <x:v>0</x:v>
      </x:c>
      <x:c r="D47" s="21" t="n">
        <x:v>0</x:v>
      </x:c>
      <x:c r="E47" s="10" t="str">
        <x:v>Synthetic example</x:v>
      </x:c>
      <x:c r="F47" s="1" t="n">
        <x:f>IF(AND(C47=INT(C47),D47=INT(D47)),0,1)</x:f>
        <x:v>0</x:v>
      </x:c>
    </x:row>
    <x:row r="48" ht="23" customHeight="1">
      <x:c r="A48" s="20" t="n">
        <x:f>IF('Setup'!$B$5="","",'Setup'!$B$5+42)</x:f>
        <x:v>46342</x:v>
      </x:c>
      <x:c r="B48" s="1" t="n">
        <x:v>7</x:v>
      </x:c>
      <x:c r="C48" s="10" t="n">
        <x:v>1</x:v>
      </x:c>
      <x:c r="D48" s="21" t="n">
        <x:v>12500</x:v>
      </x:c>
      <x:c r="E48" s="10" t="str">
        <x:v>Synthetic example</x:v>
      </x:c>
      <x:c r="F48" s="1" t="n">
        <x:f>IF(AND(C48=INT(C48),D48=INT(D48)),0,1)</x:f>
        <x:v>0</x:v>
      </x:c>
    </x:row>
    <x:row r="49" ht="23" customHeight="1">
      <x:c r="A49" s="20" t="n">
        <x:f>IF('Setup'!$B$5="","",'Setup'!$B$5+43)</x:f>
        <x:v>46343</x:v>
      </x:c>
      <x:c r="B49" s="1" t="n">
        <x:v>7</x:v>
      </x:c>
      <x:c r="C49" s="10" t="n">
        <x:v>1</x:v>
      </x:c>
      <x:c r="D49" s="21" t="n">
        <x:v>12500</x:v>
      </x:c>
      <x:c r="E49" s="10" t="str">
        <x:v>Synthetic example</x:v>
      </x:c>
      <x:c r="F49" s="1" t="n">
        <x:f>IF(AND(C49=INT(C49),D49=INT(D49)),0,1)</x:f>
        <x:v>0</x:v>
      </x:c>
    </x:row>
    <x:row r="50" ht="23" customHeight="1">
      <x:c r="A50" s="20" t="n">
        <x:f>IF('Setup'!$B$5="","",'Setup'!$B$5+44)</x:f>
        <x:v>46344</x:v>
      </x:c>
      <x:c r="B50" s="1" t="n">
        <x:v>7</x:v>
      </x:c>
      <x:c r="C50" s="10" t="n">
        <x:v>1</x:v>
      </x:c>
      <x:c r="D50" s="21" t="n">
        <x:v>12500</x:v>
      </x:c>
      <x:c r="E50" s="10" t="str">
        <x:v>Synthetic example</x:v>
      </x:c>
      <x:c r="F50" s="1" t="n">
        <x:f>IF(AND(C50=INT(C50),D50=INT(D50)),0,1)</x:f>
        <x:v>0</x:v>
      </x:c>
    </x:row>
    <x:row r="51" ht="23" customHeight="1">
      <x:c r="A51" s="20" t="n">
        <x:f>IF('Setup'!$B$5="","",'Setup'!$B$5+45)</x:f>
        <x:v>46345</x:v>
      </x:c>
      <x:c r="B51" s="1" t="n">
        <x:v>7</x:v>
      </x:c>
      <x:c r="C51" s="10" t="n">
        <x:v>1</x:v>
      </x:c>
      <x:c r="D51" s="21" t="n">
        <x:v>12500</x:v>
      </x:c>
      <x:c r="E51" s="10" t="str">
        <x:v>Synthetic example</x:v>
      </x:c>
      <x:c r="F51" s="1" t="n">
        <x:f>IF(AND(C51=INT(C51),D51=INT(D51)),0,1)</x:f>
        <x:v>0</x:v>
      </x:c>
    </x:row>
    <x:row r="52" ht="23" customHeight="1">
      <x:c r="A52" s="20" t="n">
        <x:f>IF('Setup'!$B$5="","",'Setup'!$B$5+46)</x:f>
        <x:v>46346</x:v>
      </x:c>
      <x:c r="B52" s="1" t="n">
        <x:v>7</x:v>
      </x:c>
      <x:c r="C52" s="10" t="n">
        <x:v>1</x:v>
      </x:c>
      <x:c r="D52" s="21" t="n">
        <x:v>12500</x:v>
      </x:c>
      <x:c r="E52" s="10" t="str">
        <x:v>Synthetic example</x:v>
      </x:c>
      <x:c r="F52" s="1" t="n">
        <x:f>IF(AND(C52=INT(C52),D52=INT(D52)),0,1)</x:f>
        <x:v>0</x:v>
      </x:c>
    </x:row>
    <x:row r="53" ht="23" customHeight="1">
      <x:c r="A53" s="20" t="n">
        <x:f>IF('Setup'!$B$5="","",'Setup'!$B$5+47)</x:f>
        <x:v>46347</x:v>
      </x:c>
      <x:c r="B53" s="1" t="n">
        <x:v>7</x:v>
      </x:c>
      <x:c r="C53" s="10" t="n">
        <x:v>0</x:v>
      </x:c>
      <x:c r="D53" s="21" t="n">
        <x:v>0</x:v>
      </x:c>
      <x:c r="E53" s="10" t="str">
        <x:v>Synthetic example</x:v>
      </x:c>
      <x:c r="F53" s="1" t="n">
        <x:f>IF(AND(C53=INT(C53),D53=INT(D53)),0,1)</x:f>
        <x:v>0</x:v>
      </x:c>
    </x:row>
    <x:row r="54" ht="23" customHeight="1">
      <x:c r="A54" s="20" t="n">
        <x:f>IF('Setup'!$B$5="","",'Setup'!$B$5+48)</x:f>
        <x:v>46348</x:v>
      </x:c>
      <x:c r="B54" s="1" t="n">
        <x:v>7</x:v>
      </x:c>
      <x:c r="C54" s="10" t="n">
        <x:v>0</x:v>
      </x:c>
      <x:c r="D54" s="21" t="n">
        <x:v>0</x:v>
      </x:c>
      <x:c r="E54" s="10" t="str">
        <x:v>Synthetic example</x:v>
      </x:c>
      <x:c r="F54" s="1" t="n">
        <x:f>IF(AND(C54=INT(C54),D54=INT(D54)),0,1)</x:f>
        <x:v>0</x:v>
      </x:c>
    </x:row>
    <x:row r="55" ht="23" customHeight="1">
      <x:c r="A55" s="20" t="n">
        <x:f>IF('Setup'!$B$5="","",'Setup'!$B$5+49)</x:f>
        <x:v>46349</x:v>
      </x:c>
      <x:c r="B55" s="1" t="n">
        <x:v>8</x:v>
      </x:c>
      <x:c r="C55" s="10" t="n">
        <x:v>1</x:v>
      </x:c>
      <x:c r="D55" s="21" t="n">
        <x:v>14000</x:v>
      </x:c>
      <x:c r="E55" s="10" t="str">
        <x:v>Synthetic example</x:v>
      </x:c>
      <x:c r="F55" s="1" t="n">
        <x:f>IF(AND(C55=INT(C55),D55=INT(D55)),0,1)</x:f>
        <x:v>0</x:v>
      </x:c>
    </x:row>
    <x:row r="56" ht="23" customHeight="1">
      <x:c r="A56" s="20" t="n">
        <x:f>IF('Setup'!$B$5="","",'Setup'!$B$5+50)</x:f>
        <x:v>46350</x:v>
      </x:c>
      <x:c r="B56" s="1" t="n">
        <x:v>8</x:v>
      </x:c>
      <x:c r="C56" s="10" t="n">
        <x:v>1</x:v>
      </x:c>
      <x:c r="D56" s="21" t="n">
        <x:v>14000</x:v>
      </x:c>
      <x:c r="E56" s="10" t="str">
        <x:v>Synthetic example</x:v>
      </x:c>
      <x:c r="F56" s="1" t="n">
        <x:f>IF(AND(C56=INT(C56),D56=INT(D56)),0,1)</x:f>
        <x:v>0</x:v>
      </x:c>
    </x:row>
    <x:row r="57" ht="23" customHeight="1">
      <x:c r="A57" s="20" t="n">
        <x:f>IF('Setup'!$B$5="","",'Setup'!$B$5+51)</x:f>
        <x:v>46351</x:v>
      </x:c>
      <x:c r="B57" s="1" t="n">
        <x:v>8</x:v>
      </x:c>
      <x:c r="C57" s="10" t="n">
        <x:v>1</x:v>
      </x:c>
      <x:c r="D57" s="21" t="n">
        <x:v>14000</x:v>
      </x:c>
      <x:c r="E57" s="10" t="str">
        <x:v>Synthetic example</x:v>
      </x:c>
      <x:c r="F57" s="1" t="n">
        <x:f>IF(AND(C57=INT(C57),D57=INT(D57)),0,1)</x:f>
        <x:v>0</x:v>
      </x:c>
    </x:row>
    <x:row r="58" ht="23" customHeight="1">
      <x:c r="A58" s="20" t="n">
        <x:f>IF('Setup'!$B$5="","",'Setup'!$B$5+52)</x:f>
        <x:v>46352</x:v>
      </x:c>
      <x:c r="B58" s="1" t="n">
        <x:v>8</x:v>
      </x:c>
      <x:c r="C58" s="10" t="n">
        <x:v>1</x:v>
      </x:c>
      <x:c r="D58" s="21" t="n">
        <x:v>14000</x:v>
      </x:c>
      <x:c r="E58" s="10" t="str">
        <x:v>Synthetic example</x:v>
      </x:c>
      <x:c r="F58" s="1" t="n">
        <x:f>IF(AND(C58=INT(C58),D58=INT(D58)),0,1)</x:f>
        <x:v>0</x:v>
      </x:c>
    </x:row>
    <x:row r="59" ht="23" customHeight="1">
      <x:c r="A59" s="20" t="n">
        <x:f>IF('Setup'!$B$5="","",'Setup'!$B$5+53)</x:f>
        <x:v>46353</x:v>
      </x:c>
      <x:c r="B59" s="1" t="n">
        <x:v>8</x:v>
      </x:c>
      <x:c r="C59" s="10" t="n">
        <x:v>1</x:v>
      </x:c>
      <x:c r="D59" s="21" t="n">
        <x:v>14000</x:v>
      </x:c>
      <x:c r="E59" s="10" t="str">
        <x:v>Synthetic example</x:v>
      </x:c>
      <x:c r="F59" s="1" t="n">
        <x:f>IF(AND(C59=INT(C59),D59=INT(D59)),0,1)</x:f>
        <x:v>0</x:v>
      </x:c>
    </x:row>
    <x:row r="60" ht="23" customHeight="1">
      <x:c r="A60" s="20" t="n">
        <x:f>IF('Setup'!$B$5="","",'Setup'!$B$5+54)</x:f>
        <x:v>46354</x:v>
      </x:c>
      <x:c r="B60" s="1" t="n">
        <x:v>8</x:v>
      </x:c>
      <x:c r="C60" s="10" t="n">
        <x:v>0</x:v>
      </x:c>
      <x:c r="D60" s="21" t="n">
        <x:v>0</x:v>
      </x:c>
      <x:c r="E60" s="10" t="str">
        <x:v>Synthetic example</x:v>
      </x:c>
      <x:c r="F60" s="1" t="n">
        <x:f>IF(AND(C60=INT(C60),D60=INT(D60)),0,1)</x:f>
        <x:v>0</x:v>
      </x:c>
    </x:row>
    <x:row r="61" ht="23" customHeight="1">
      <x:c r="A61" s="20" t="n">
        <x:f>IF('Setup'!$B$5="","",'Setup'!$B$5+55)</x:f>
        <x:v>46355</x:v>
      </x:c>
      <x:c r="B61" s="1" t="n">
        <x:v>8</x:v>
      </x:c>
      <x:c r="C61" s="10" t="n">
        <x:v>0</x:v>
      </x:c>
      <x:c r="D61" s="21" t="n">
        <x:v>0</x:v>
      </x:c>
      <x:c r="E61" s="10" t="str">
        <x:v>Synthetic example</x:v>
      </x:c>
      <x:c r="F61" s="1" t="n">
        <x:f>IF(AND(C61=INT(C61),D61=INT(D61)),0,1)</x:f>
        <x:v>0</x:v>
      </x:c>
    </x:row>
    <x:row r="62" ht="23" customHeight="1">
      <x:c r="A62" s="20" t="n">
        <x:f>IF('Setup'!$B$5="","",'Setup'!$B$5+56)</x:f>
        <x:v>46356</x:v>
      </x:c>
      <x:c r="B62" s="1" t="n">
        <x:v>9</x:v>
      </x:c>
      <x:c r="C62" s="10" t="n">
        <x:v>1</x:v>
      </x:c>
      <x:c r="D62" s="21" t="n">
        <x:v>11500</x:v>
      </x:c>
      <x:c r="E62" s="10" t="str">
        <x:v>Synthetic example</x:v>
      </x:c>
      <x:c r="F62" s="1" t="n">
        <x:f>IF(AND(C62=INT(C62),D62=INT(D62)),0,1)</x:f>
        <x:v>0</x:v>
      </x:c>
    </x:row>
    <x:row r="63" ht="23" customHeight="1">
      <x:c r="A63" s="20" t="n">
        <x:f>IF('Setup'!$B$5="","",'Setup'!$B$5+57)</x:f>
        <x:v>46357</x:v>
      </x:c>
      <x:c r="B63" s="1" t="n">
        <x:v>9</x:v>
      </x:c>
      <x:c r="C63" s="10" t="n">
        <x:v>1</x:v>
      </x:c>
      <x:c r="D63" s="21" t="n">
        <x:v>11500</x:v>
      </x:c>
      <x:c r="E63" s="10" t="str">
        <x:v>Synthetic example</x:v>
      </x:c>
      <x:c r="F63" s="1" t="n">
        <x:f>IF(AND(C63=INT(C63),D63=INT(D63)),0,1)</x:f>
        <x:v>0</x:v>
      </x:c>
    </x:row>
    <x:row r="64" ht="23" customHeight="1">
      <x:c r="A64" s="20" t="n">
        <x:f>IF('Setup'!$B$5="","",'Setup'!$B$5+58)</x:f>
        <x:v>46358</x:v>
      </x:c>
      <x:c r="B64" s="1" t="n">
        <x:v>9</x:v>
      </x:c>
      <x:c r="C64" s="10" t="n">
        <x:v>1</x:v>
      </x:c>
      <x:c r="D64" s="21" t="n">
        <x:v>11500</x:v>
      </x:c>
      <x:c r="E64" s="10" t="str">
        <x:v>Synthetic example</x:v>
      </x:c>
      <x:c r="F64" s="1" t="n">
        <x:f>IF(AND(C64=INT(C64),D64=INT(D64)),0,1)</x:f>
        <x:v>0</x:v>
      </x:c>
    </x:row>
    <x:row r="65" ht="23" customHeight="1">
      <x:c r="A65" s="20" t="n">
        <x:f>IF('Setup'!$B$5="","",'Setup'!$B$5+59)</x:f>
        <x:v>46359</x:v>
      </x:c>
      <x:c r="B65" s="1" t="n">
        <x:v>9</x:v>
      </x:c>
      <x:c r="C65" s="10" t="n">
        <x:v>1</x:v>
      </x:c>
      <x:c r="D65" s="21" t="n">
        <x:v>11500</x:v>
      </x:c>
      <x:c r="E65" s="10" t="str">
        <x:v>Synthetic example</x:v>
      </x:c>
      <x:c r="F65" s="1" t="n">
        <x:f>IF(AND(C65=INT(C65),D65=INT(D65)),0,1)</x:f>
        <x:v>0</x:v>
      </x:c>
    </x:row>
    <x:row r="66" ht="23" customHeight="1">
      <x:c r="A66" s="20" t="n">
        <x:f>IF('Setup'!$B$5="","",'Setup'!$B$5+60)</x:f>
        <x:v>46360</x:v>
      </x:c>
      <x:c r="B66" s="1" t="n">
        <x:v>9</x:v>
      </x:c>
      <x:c r="C66" s="10" t="n">
        <x:v>1</x:v>
      </x:c>
      <x:c r="D66" s="21" t="n">
        <x:v>11500</x:v>
      </x:c>
      <x:c r="E66" s="10" t="str">
        <x:v>Synthetic example</x:v>
      </x:c>
      <x:c r="F66" s="1" t="n">
        <x:f>IF(AND(C66=INT(C66),D66=INT(D66)),0,1)</x:f>
        <x:v>0</x:v>
      </x:c>
    </x:row>
    <x:row r="67" ht="23" customHeight="1">
      <x:c r="A67" s="20" t="n">
        <x:f>IF('Setup'!$B$5="","",'Setup'!$B$5+61)</x:f>
        <x:v>46361</x:v>
      </x:c>
      <x:c r="B67" s="1" t="n">
        <x:v>9</x:v>
      </x:c>
      <x:c r="C67" s="10" t="n">
        <x:v>0</x:v>
      </x:c>
      <x:c r="D67" s="21" t="n">
        <x:v>0</x:v>
      </x:c>
      <x:c r="E67" s="10" t="str">
        <x:v>Synthetic example</x:v>
      </x:c>
      <x:c r="F67" s="1" t="n">
        <x:f>IF(AND(C67=INT(C67),D67=INT(D67)),0,1)</x:f>
        <x:v>0</x:v>
      </x:c>
    </x:row>
    <x:row r="68" ht="23" customHeight="1">
      <x:c r="A68" s="20" t="n">
        <x:f>IF('Setup'!$B$5="","",'Setup'!$B$5+62)</x:f>
        <x:v>46362</x:v>
      </x:c>
      <x:c r="B68" s="1" t="n">
        <x:v>9</x:v>
      </x:c>
      <x:c r="C68" s="10" t="n">
        <x:v>0</x:v>
      </x:c>
      <x:c r="D68" s="21" t="n">
        <x:v>0</x:v>
      </x:c>
      <x:c r="E68" s="10" t="str">
        <x:v>Synthetic example</x:v>
      </x:c>
      <x:c r="F68" s="1" t="n">
        <x:f>IF(AND(C68=INT(C68),D68=INT(D68)),0,1)</x:f>
        <x:v>0</x:v>
      </x:c>
    </x:row>
    <x:row r="69" ht="23" customHeight="1">
      <x:c r="A69" s="20" t="n">
        <x:f>IF('Setup'!$B$5="","",'Setup'!$B$5+63)</x:f>
        <x:v>46363</x:v>
      </x:c>
      <x:c r="B69" s="1" t="n">
        <x:v>10</x:v>
      </x:c>
      <x:c r="C69" s="10" t="n">
        <x:v>1</x:v>
      </x:c>
      <x:c r="D69" s="21" t="n">
        <x:v>10000</x:v>
      </x:c>
      <x:c r="E69" s="10" t="str">
        <x:v>Synthetic example</x:v>
      </x:c>
      <x:c r="F69" s="1" t="n">
        <x:f>IF(AND(C69=INT(C69),D69=INT(D69)),0,1)</x:f>
        <x:v>0</x:v>
      </x:c>
    </x:row>
    <x:row r="70" ht="23" customHeight="1">
      <x:c r="A70" s="20" t="n">
        <x:f>IF('Setup'!$B$5="","",'Setup'!$B$5+64)</x:f>
        <x:v>46364</x:v>
      </x:c>
      <x:c r="B70" s="1" t="n">
        <x:v>10</x:v>
      </x:c>
      <x:c r="C70" s="10" t="n">
        <x:v>1</x:v>
      </x:c>
      <x:c r="D70" s="21" t="n">
        <x:v>10000</x:v>
      </x:c>
      <x:c r="E70" s="10" t="str">
        <x:v>Synthetic example</x:v>
      </x:c>
      <x:c r="F70" s="1" t="n">
        <x:f>IF(AND(C70=INT(C70),D70=INT(D70)),0,1)</x:f>
        <x:v>0</x:v>
      </x:c>
    </x:row>
    <x:row r="71" ht="23" customHeight="1">
      <x:c r="A71" s="20" t="n">
        <x:f>IF('Setup'!$B$5="","",'Setup'!$B$5+65)</x:f>
        <x:v>46365</x:v>
      </x:c>
      <x:c r="B71" s="1" t="n">
        <x:v>10</x:v>
      </x:c>
      <x:c r="C71" s="10" t="n">
        <x:v>1</x:v>
      </x:c>
      <x:c r="D71" s="21" t="n">
        <x:v>10000</x:v>
      </x:c>
      <x:c r="E71" s="10" t="str">
        <x:v>Synthetic example</x:v>
      </x:c>
      <x:c r="F71" s="1" t="n">
        <x:f>IF(AND(C71=INT(C71),D71=INT(D71)),0,1)</x:f>
        <x:v>0</x:v>
      </x:c>
    </x:row>
    <x:row r="72" ht="23" customHeight="1">
      <x:c r="A72" s="20" t="n">
        <x:f>IF('Setup'!$B$5="","",'Setup'!$B$5+66)</x:f>
        <x:v>46366</x:v>
      </x:c>
      <x:c r="B72" s="1" t="n">
        <x:v>10</x:v>
      </x:c>
      <x:c r="C72" s="10" t="n">
        <x:v>1</x:v>
      </x:c>
      <x:c r="D72" s="21" t="n">
        <x:v>10000</x:v>
      </x:c>
      <x:c r="E72" s="10" t="str">
        <x:v>Synthetic example</x:v>
      </x:c>
      <x:c r="F72" s="1" t="n">
        <x:f>IF(AND(C72=INT(C72),D72=INT(D72)),0,1)</x:f>
        <x:v>0</x:v>
      </x:c>
    </x:row>
    <x:row r="73" ht="23" customHeight="1">
      <x:c r="A73" s="20" t="n">
        <x:f>IF('Setup'!$B$5="","",'Setup'!$B$5+67)</x:f>
        <x:v>46367</x:v>
      </x:c>
      <x:c r="B73" s="1" t="n">
        <x:v>10</x:v>
      </x:c>
      <x:c r="C73" s="10" t="n">
        <x:v>1</x:v>
      </x:c>
      <x:c r="D73" s="21" t="n">
        <x:v>10000</x:v>
      </x:c>
      <x:c r="E73" s="10" t="str">
        <x:v>Synthetic example</x:v>
      </x:c>
      <x:c r="F73" s="1" t="n">
        <x:f>IF(AND(C73=INT(C73),D73=INT(D73)),0,1)</x:f>
        <x:v>0</x:v>
      </x:c>
    </x:row>
    <x:row r="74" ht="23" customHeight="1">
      <x:c r="A74" s="20" t="n">
        <x:f>IF('Setup'!$B$5="","",'Setup'!$B$5+68)</x:f>
        <x:v>46368</x:v>
      </x:c>
      <x:c r="B74" s="1" t="n">
        <x:v>10</x:v>
      </x:c>
      <x:c r="C74" s="10" t="n">
        <x:v>0</x:v>
      </x:c>
      <x:c r="D74" s="21" t="n">
        <x:v>0</x:v>
      </x:c>
      <x:c r="E74" s="10" t="str">
        <x:v>Synthetic example</x:v>
      </x:c>
      <x:c r="F74" s="1" t="n">
        <x:f>IF(AND(C74=INT(C74),D74=INT(D74)),0,1)</x:f>
        <x:v>0</x:v>
      </x:c>
    </x:row>
    <x:row r="75" ht="23" customHeight="1">
      <x:c r="A75" s="20" t="n">
        <x:f>IF('Setup'!$B$5="","",'Setup'!$B$5+69)</x:f>
        <x:v>46369</x:v>
      </x:c>
      <x:c r="B75" s="1" t="n">
        <x:v>10</x:v>
      </x:c>
      <x:c r="C75" s="10" t="n">
        <x:v>0</x:v>
      </x:c>
      <x:c r="D75" s="21" t="n">
        <x:v>0</x:v>
      </x:c>
      <x:c r="E75" s="10" t="str">
        <x:v>Synthetic example</x:v>
      </x:c>
      <x:c r="F75" s="1" t="n">
        <x:f>IF(AND(C75=INT(C75),D75=INT(D75)),0,1)</x:f>
        <x:v>0</x:v>
      </x:c>
    </x:row>
    <x:row r="76" ht="23" customHeight="1">
      <x:c r="A76" s="20" t="n">
        <x:f>IF('Setup'!$B$5="","",'Setup'!$B$5+70)</x:f>
        <x:v>46370</x:v>
      </x:c>
      <x:c r="B76" s="1" t="n">
        <x:v>11</x:v>
      </x:c>
      <x:c r="C76" s="10" t="n">
        <x:v>1</x:v>
      </x:c>
      <x:c r="D76" s="21" t="n">
        <x:v>8000</x:v>
      </x:c>
      <x:c r="E76" s="10" t="str">
        <x:v>Synthetic example</x:v>
      </x:c>
      <x:c r="F76" s="1" t="n">
        <x:f>IF(AND(C76=INT(C76),D76=INT(D76)),0,1)</x:f>
        <x:v>0</x:v>
      </x:c>
    </x:row>
    <x:row r="77" ht="23" customHeight="1">
      <x:c r="A77" s="20" t="n">
        <x:f>IF('Setup'!$B$5="","",'Setup'!$B$5+71)</x:f>
        <x:v>46371</x:v>
      </x:c>
      <x:c r="B77" s="1" t="n">
        <x:v>11</x:v>
      </x:c>
      <x:c r="C77" s="10" t="n">
        <x:v>1</x:v>
      </x:c>
      <x:c r="D77" s="21" t="n">
        <x:v>8000</x:v>
      </x:c>
      <x:c r="E77" s="10" t="str">
        <x:v>Synthetic example</x:v>
      </x:c>
      <x:c r="F77" s="1" t="n">
        <x:f>IF(AND(C77=INT(C77),D77=INT(D77)),0,1)</x:f>
        <x:v>0</x:v>
      </x:c>
    </x:row>
    <x:row r="78" ht="23" customHeight="1">
      <x:c r="A78" s="20" t="n">
        <x:f>IF('Setup'!$B$5="","",'Setup'!$B$5+72)</x:f>
        <x:v>46372</x:v>
      </x:c>
      <x:c r="B78" s="1" t="n">
        <x:v>11</x:v>
      </x:c>
      <x:c r="C78" s="10" t="n">
        <x:v>1</x:v>
      </x:c>
      <x:c r="D78" s="21" t="n">
        <x:v>8000</x:v>
      </x:c>
      <x:c r="E78" s="10" t="str">
        <x:v>Synthetic example</x:v>
      </x:c>
      <x:c r="F78" s="1" t="n">
        <x:f>IF(AND(C78=INT(C78),D78=INT(D78)),0,1)</x:f>
        <x:v>0</x:v>
      </x:c>
    </x:row>
    <x:row r="79" ht="23" customHeight="1">
      <x:c r="A79" s="20" t="n">
        <x:f>IF('Setup'!$B$5="","",'Setup'!$B$5+73)</x:f>
        <x:v>46373</x:v>
      </x:c>
      <x:c r="B79" s="1" t="n">
        <x:v>11</x:v>
      </x:c>
      <x:c r="C79" s="10" t="n">
        <x:v>1</x:v>
      </x:c>
      <x:c r="D79" s="21" t="n">
        <x:v>8000</x:v>
      </x:c>
      <x:c r="E79" s="10" t="str">
        <x:v>Synthetic example</x:v>
      </x:c>
      <x:c r="F79" s="1" t="n">
        <x:f>IF(AND(C79=INT(C79),D79=INT(D79)),0,1)</x:f>
        <x:v>0</x:v>
      </x:c>
    </x:row>
    <x:row r="80" ht="23" customHeight="1">
      <x:c r="A80" s="20" t="n">
        <x:f>IF('Setup'!$B$5="","",'Setup'!$B$5+74)</x:f>
        <x:v>46374</x:v>
      </x:c>
      <x:c r="B80" s="1" t="n">
        <x:v>11</x:v>
      </x:c>
      <x:c r="C80" s="10" t="n">
        <x:v>1</x:v>
      </x:c>
      <x:c r="D80" s="21" t="n">
        <x:v>8000</x:v>
      </x:c>
      <x:c r="E80" s="10" t="str">
        <x:v>Synthetic example</x:v>
      </x:c>
      <x:c r="F80" s="1" t="n">
        <x:f>IF(AND(C80=INT(C80),D80=INT(D80)),0,1)</x:f>
        <x:v>0</x:v>
      </x:c>
    </x:row>
    <x:row r="81" ht="23" customHeight="1">
      <x:c r="A81" s="20" t="n">
        <x:f>IF('Setup'!$B$5="","",'Setup'!$B$5+75)</x:f>
        <x:v>46375</x:v>
      </x:c>
      <x:c r="B81" s="1" t="n">
        <x:v>11</x:v>
      </x:c>
      <x:c r="C81" s="10" t="n">
        <x:v>0</x:v>
      </x:c>
      <x:c r="D81" s="21" t="n">
        <x:v>0</x:v>
      </x:c>
      <x:c r="E81" s="10" t="str">
        <x:v>Synthetic example</x:v>
      </x:c>
      <x:c r="F81" s="1" t="n">
        <x:f>IF(AND(C81=INT(C81),D81=INT(D81)),0,1)</x:f>
        <x:v>0</x:v>
      </x:c>
    </x:row>
    <x:row r="82" ht="23" customHeight="1">
      <x:c r="A82" s="20" t="n">
        <x:f>IF('Setup'!$B$5="","",'Setup'!$B$5+76)</x:f>
        <x:v>46376</x:v>
      </x:c>
      <x:c r="B82" s="1" t="n">
        <x:v>11</x:v>
      </x:c>
      <x:c r="C82" s="10" t="n">
        <x:v>0</x:v>
      </x:c>
      <x:c r="D82" s="21" t="n">
        <x:v>0</x:v>
      </x:c>
      <x:c r="E82" s="10" t="str">
        <x:v>Synthetic example</x:v>
      </x:c>
      <x:c r="F82" s="1" t="n">
        <x:f>IF(AND(C82=INT(C82),D82=INT(D82)),0,1)</x:f>
        <x:v>0</x:v>
      </x:c>
    </x:row>
    <x:row r="83" ht="23" customHeight="1">
      <x:c r="A83" s="20" t="n">
        <x:f>IF('Setup'!$B$5="","",'Setup'!$B$5+77)</x:f>
        <x:v>46377</x:v>
      </x:c>
      <x:c r="B83" s="1" t="n">
        <x:v>12</x:v>
      </x:c>
      <x:c r="C83" s="10" t="n">
        <x:v>1</x:v>
      </x:c>
      <x:c r="D83" s="21" t="n">
        <x:v>6500</x:v>
      </x:c>
      <x:c r="E83" s="10" t="str">
        <x:v>Synthetic example</x:v>
      </x:c>
      <x:c r="F83" s="1" t="n">
        <x:f>IF(AND(C83=INT(C83),D83=INT(D83)),0,1)</x:f>
        <x:v>0</x:v>
      </x:c>
    </x:row>
    <x:row r="84" ht="23" customHeight="1">
      <x:c r="A84" s="20" t="n">
        <x:f>IF('Setup'!$B$5="","",'Setup'!$B$5+78)</x:f>
        <x:v>46378</x:v>
      </x:c>
      <x:c r="B84" s="1" t="n">
        <x:v>12</x:v>
      </x:c>
      <x:c r="C84" s="10" t="n">
        <x:v>1</x:v>
      </x:c>
      <x:c r="D84" s="21" t="n">
        <x:v>6500</x:v>
      </x:c>
      <x:c r="E84" s="10" t="str">
        <x:v>Synthetic example</x:v>
      </x:c>
      <x:c r="F84" s="1" t="n">
        <x:f>IF(AND(C84=INT(C84),D84=INT(D84)),0,1)</x:f>
        <x:v>0</x:v>
      </x:c>
    </x:row>
    <x:row r="85" ht="23" customHeight="1">
      <x:c r="A85" s="20" t="n">
        <x:f>IF('Setup'!$B$5="","",'Setup'!$B$5+79)</x:f>
        <x:v>46379</x:v>
      </x:c>
      <x:c r="B85" s="1" t="n">
        <x:v>12</x:v>
      </x:c>
      <x:c r="C85" s="10" t="n">
        <x:v>1</x:v>
      </x:c>
      <x:c r="D85" s="21" t="n">
        <x:v>6500</x:v>
      </x:c>
      <x:c r="E85" s="10" t="str">
        <x:v>Synthetic example</x:v>
      </x:c>
      <x:c r="F85" s="1" t="n">
        <x:f>IF(AND(C85=INT(C85),D85=INT(D85)),0,1)</x:f>
        <x:v>0</x:v>
      </x:c>
    </x:row>
    <x:row r="86" ht="23" customHeight="1">
      <x:c r="A86" s="20" t="n">
        <x:f>IF('Setup'!$B$5="","",'Setup'!$B$5+80)</x:f>
        <x:v>46380</x:v>
      </x:c>
      <x:c r="B86" s="1" t="n">
        <x:v>12</x:v>
      </x:c>
      <x:c r="C86" s="10" t="n">
        <x:v>1</x:v>
      </x:c>
      <x:c r="D86" s="21" t="n">
        <x:v>6500</x:v>
      </x:c>
      <x:c r="E86" s="10" t="str">
        <x:v>Synthetic example</x:v>
      </x:c>
      <x:c r="F86" s="1" t="n">
        <x:f>IF(AND(C86=INT(C86),D86=INT(D86)),0,1)</x:f>
        <x:v>0</x:v>
      </x:c>
    </x:row>
    <x:row r="87" ht="23" customHeight="1">
      <x:c r="A87" s="20" t="n">
        <x:f>IF('Setup'!$B$5="","",'Setup'!$B$5+81)</x:f>
        <x:v>46381</x:v>
      </x:c>
      <x:c r="B87" s="1" t="n">
        <x:v>12</x:v>
      </x:c>
      <x:c r="C87" s="10" t="n">
        <x:v>1</x:v>
      </x:c>
      <x:c r="D87" s="21" t="n">
        <x:v>6500</x:v>
      </x:c>
      <x:c r="E87" s="10" t="str">
        <x:v>Synthetic example</x:v>
      </x:c>
      <x:c r="F87" s="1" t="n">
        <x:f>IF(AND(C87=INT(C87),D87=INT(D87)),0,1)</x:f>
        <x:v>0</x:v>
      </x:c>
    </x:row>
    <x:row r="88" ht="23" customHeight="1">
      <x:c r="A88" s="20" t="n">
        <x:f>IF('Setup'!$B$5="","",'Setup'!$B$5+82)</x:f>
        <x:v>46382</x:v>
      </x:c>
      <x:c r="B88" s="1" t="n">
        <x:v>12</x:v>
      </x:c>
      <x:c r="C88" s="10" t="n">
        <x:v>0</x:v>
      </x:c>
      <x:c r="D88" s="21" t="n">
        <x:v>0</x:v>
      </x:c>
      <x:c r="E88" s="10" t="str">
        <x:v>Synthetic example</x:v>
      </x:c>
      <x:c r="F88" s="1" t="n">
        <x:f>IF(AND(C88=INT(C88),D88=INT(D88)),0,1)</x:f>
        <x:v>0</x:v>
      </x:c>
    </x:row>
    <x:row r="89" ht="23" customHeight="1">
      <x:c r="A89" s="20" t="n">
        <x:f>IF('Setup'!$B$5="","",'Setup'!$B$5+83)</x:f>
        <x:v>46383</x:v>
      </x:c>
      <x:c r="B89" s="1" t="n">
        <x:v>12</x:v>
      </x:c>
      <x:c r="C89" s="10" t="n">
        <x:v>0</x:v>
      </x:c>
      <x:c r="D89" s="21" t="n">
        <x:v>0</x:v>
      </x:c>
      <x:c r="E89" s="10" t="str">
        <x:v>Synthetic example</x:v>
      </x:c>
      <x:c r="F89" s="1" t="n">
        <x:f>IF(AND(C89=INT(C89),D89=INT(D89)),0,1)</x:f>
        <x:v>0</x:v>
      </x:c>
    </x:row>
    <x:row r="90" ht="23" customHeight="1">
      <x:c r="A90" s="1"/>
      <x:c r="B90" s="1"/>
      <x:c r="C90" s="1"/>
      <x:c r="D90" s="1"/>
      <x:c r="E90" s="1"/>
      <x:c r="F90" s="1"/>
    </x:row>
    <x:row r="91" ht="23" customHeight="1">
      <x:c r="A91" s="1" t="str">
        <x:v>Closed days have zero capacity and paid labor in this model. Demand may still arrive and will accumulate as backlog.</x:v>
      </x:c>
      <x:c r="B91" s="1"/>
      <x:c r="C91" s="1"/>
      <x:c r="D91" s="1"/>
      <x:c r="E91" s="1"/>
      <x:c r="F91" s="1"/>
    </x:row>
    <x:row r="92" ht="23" customHeight="1">
      <x:c r="A92" s="1" t="str">
        <x:v>For shutdown wages, holiday pay, 7-day arrivals, multiple shifts or different daily staffing, agree a documented extension before use.</x:v>
      </x:c>
      <x:c r="B92" s="1"/>
      <x:c r="C92" s="1"/>
      <x:c r="D92" s="1"/>
      <x:c r="E92" s="1"/>
      <x:c r="F92" s="1"/>
    </x:row>
    <x:row r="93" ht="23" customHeight="1">
      <x:c r="A93" s="1"/>
      <x:c r="B93" s="1"/>
      <x:c r="C93" s="1"/>
      <x:c r="D93" s="1"/>
      <x:c r="E93" s="1"/>
      <x:c r="F93" s="1"/>
    </x:row>
  </x:sheetData>
  <x:conditionalFormatting sqref="F6:F89">
    <x:cfRule type="cellIs" dxfId="3" priority="1" operator="greaterThan">
      <x:formula>0</x:formula>
    </x:cfRule>
  </x:conditionalFormatting>
  <x:dataValidations count="2">
    <x:dataValidation type="whole" operator="between" sqref="C6:C89">
      <x:formula1>0</x:formula1>
      <x:formula2>1</x:formula2>
    </x:dataValidation>
    <x:dataValidation type="whole" operator="between" sqref="D6:D89">
      <x:formula1>0</x:formula1>
      <x:formula2>100000000</x:formula2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  <x:col min="24" max="24" width="17" hidden="0" customWidth="1"/>
    <x:col min="25" max="25" width="17" hidden="0" customWidth="1"/>
    <x:col min="26" max="26" width="17" hidden="0" customWidth="1"/>
    <x:col min="27" max="27" width="17" hidden="0" customWidth="1"/>
  </x:cols>
  <x:sheetData>
    <x:row r="1" ht="31" customHeight="1">
      <x:c r="A1" s="2" t="str">
        <x:v>Weekly process capacity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</x:row>
    <x:row r="2" ht="23" customHeight="1">
      <x:c r="A2" s="3" t="str">
        <x:v>Calculation detail. Values are per open day for each scenario, week and process.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  <x:c r="W3" s="4"/>
      <x:c r="X3" s="4"/>
      <x:c r="Y3" s="4"/>
      <x:c r="Z3" s="4"/>
      <x:c r="AA3" s="4"/>
    </x:row>
    <x:row r="4" ht="23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</x:row>
    <x:row r="5" ht="60" customHeight="1">
      <x:c r="A5" s="8" t="str">
        <x:v>Scenario</x:v>
      </x:c>
      <x:c r="B5" s="8" t="str">
        <x:v>Week</x:v>
      </x:c>
      <x:c r="C5" s="8" t="str">
        <x:v>Process</x:v>
      </x:c>
      <x:c r="D5" s="8" t="str">
        <x:v>Trained
planned</x:v>
      </x:c>
      <x:c r="E5" s="8" t="str">
        <x:v>Cohort
active</x:v>
      </x:c>
      <x:c r="F5" s="8" t="str">
        <x:v>Cohort rate
share</x:v>
      </x:c>
      <x:c r="G5" s="8" t="str">
        <x:v>Trained
deployed</x:v>
      </x:c>
      <x:c r="H5" s="8" t="str">
        <x:v>Cohort
deployed</x:v>
      </x:c>
      <x:c r="I5" s="8" t="str">
        <x:v>Attendance
share</x:v>
      </x:c>
      <x:c r="J5" s="8" t="str">
        <x:v>Regular equiv.
hours</x:v>
      </x:c>
      <x:c r="K5" s="8" t="str">
        <x:v>OT equiv.
hours</x:v>
      </x:c>
      <x:c r="L5" s="8" t="str">
        <x:v>Labor orders
/ day</x:v>
      </x:c>
      <x:c r="M5" s="8" t="str">
        <x:v>Physical orders
/ day</x:v>
      </x:c>
      <x:c r="N5" s="8" t="str">
        <x:v>Usable orders
/ day</x:v>
      </x:c>
      <x:c r="O5" s="8" t="str">
        <x:v>Regular
labor cost</x:v>
      </x:c>
      <x:c r="P5" s="8" t="str">
        <x:v>OT
labor cost</x:v>
      </x:c>
      <x:c r="Q5" s="8" t="str">
        <x:v>Incremental
labor cost</x:v>
      </x:c>
      <x:c r="R5" s="8" t="str">
        <x:v>Planned heads</x:v>
      </x:c>
      <x:c r="S5" s="8" t="str">
        <x:v>Worker limit</x:v>
      </x:c>
      <x:c r="T5" s="8" t="str">
        <x:v>Unplaced heads</x:v>
      </x:c>
      <x:c r="U5" s="8" t="str">
        <x:v>OT requested</x:v>
      </x:c>
      <x:c r="V5" s="8" t="str">
        <x:v>OT applied</x:v>
      </x:c>
      <x:c r="W5" s="8" t="str">
        <x:v>OT excess</x:v>
      </x:c>
      <x:c r="X5" s="8" t="str">
        <x:v>Orders /
trained head</x:v>
      </x:c>
      <x:c r="Y5" s="8" t="str">
        <x:v>Cohort equiv.
heads</x:v>
      </x:c>
      <x:c r="Z5" s="8" t="str">
        <x:v>Planned
labor cost</x:v>
      </x:c>
      <x:c r="AA5" s="8" t="str">
        <x:v>Baseline
regular cost</x:v>
      </x:c>
    </x:row>
    <x:row r="6" ht="23" customHeight="1">
      <x:c r="A6" s="1" t="str">
        <x:v>Base</x:v>
      </x:c>
      <x:c r="B6" s="1" t="n">
        <x:v>1</x:v>
      </x:c>
      <x:c r="C6" s="1" t="str">
        <x:f>'Processes'!A6</x:f>
        <x:v>Pick</x:v>
      </x:c>
      <x:c r="D6" s="22" t="n">
        <x:f>IF('Setup'!$B$22&gt;0,"",'Staffing'!C6)</x:f>
        <x:v>24</x:v>
      </x:c>
      <x:c r="E6" s="22" t="n">
        <x:f>IF('Setup'!$B$22&gt;0,"",IF(B6&gt;='Processes'!N6,'Processes'!O6,0))</x:f>
        <x:v>0</x:v>
      </x:c>
      <x:c r="F6" s="23" t="n">
        <x:f>IF('Setup'!$B$22&gt;0,"",IF(E6=0,0,INDEX('Setup'!$B$9:$B$13,MIN(5,B6-'Processes'!N6+1))))</x:f>
        <x:v>0</x:v>
      </x:c>
      <x:c r="G6" s="22" t="n">
        <x:f>IF('Setup'!$B$22&gt;0,"",MIN(D6,'Processes'!M6))</x:f>
        <x:v>24</x:v>
      </x:c>
      <x:c r="H6" s="22" t="n">
        <x:f>IF('Setup'!$B$22&gt;0,"",MIN(E6,MAX(0,'Processes'!M6-G6)))</x:f>
        <x:v>0</x:v>
      </x:c>
      <x:c r="I6" s="23" t="n">
        <x:f>IF('Setup'!$B$22&gt;0,"",1-'Processes'!G6-'Setup'!C17)</x:f>
        <x:v>0.92</x:v>
      </x:c>
      <x:c r="J6" s="22" t="n">
        <x:f>IF('Setup'!$B$22&gt;0,"",(G6+H6*F6)*I6*'Processes'!F6)</x:f>
        <x:v>143.52</x:v>
      </x:c>
      <x:c r="K6" s="22" t="n">
        <x:f>IF('Setup'!$B$22&gt;0,"",(G6+H6*F6)*I6*V6*'Processes'!H6)</x:f>
        <x:v>0</x:v>
      </x:c>
      <x:c r="L6" s="22" t="n">
        <x:f>IF('Setup'!$B$22&gt;0,"",(J6+K6)*'Processes'!C6*'Setup'!D17/'Processes'!B6)</x:f>
        <x:v>7176.000000000001</x:v>
      </x:c>
      <x:c r="M6" s="22" t="n">
        <x:f>IF('Setup'!$B$22&gt;0,"",'Processes'!L6*'Setup'!E17)</x:f>
        <x:v>10000</x:v>
      </x:c>
      <x:c r="N6" s="24" t="n">
        <x:f>IF('Setup'!$B$22&gt;0,"",INT(MIN(L6,M6)))</x:f>
        <x:v>7176</x:v>
      </x:c>
      <x:c r="O6" s="25" t="n">
        <x:f>IF('Setup'!$B$22&gt;0,"",(D6+E6)*I6*'Processes'!E6*'Processes'!J6)</x:f>
        <x:v>4239.360000000001</x:v>
      </x:c>
      <x:c r="P6" s="25" t="n">
        <x:f>IF('Setup'!$B$22&gt;0,"",(D6+E6)*I6*V6*'Processes'!J6*'Processes'!K6)</x:f>
        <x:v>0</x:v>
      </x:c>
      <x:c r="Q6" s="25" t="n">
        <x:f>IF('Setup'!$B$22&gt;0,"",Z6-AA6)</x:f>
        <x:v>0</x:v>
      </x:c>
      <x:c r="R6" s="22" t="n">
        <x:f>IF('Setup'!$B$22&gt;0,"",D6+E6)</x:f>
        <x:v>24</x:v>
      </x:c>
      <x:c r="S6" s="22" t="n">
        <x:f>IF('Setup'!$B$22&gt;0,"",'Processes'!M6)</x:f>
        <x:v>32</x:v>
      </x:c>
      <x:c r="T6" s="22" t="n">
        <x:f>IF('Setup'!$B$22&gt;0,"",MAX(0,R6-S6))</x:f>
        <x:v>0</x:v>
      </x:c>
      <x:c r="U6" s="22" t="n">
        <x:f>IF('Setup'!$B$22&gt;0,"",'Staffing'!F6)</x:f>
        <x:v>0</x:v>
      </x:c>
      <x:c r="V6" s="22" t="n">
        <x:f>IF('Setup'!$B$22&gt;0,"",MIN(U6,'Processes'!I6))</x:f>
        <x:v>0</x:v>
      </x:c>
      <x:c r="W6" s="22" t="n">
        <x:f>IF('Setup'!$B$22&gt;0,"",MAX(0,U6-V6))</x:f>
        <x:v>0</x:v>
      </x:c>
      <x:c r="X6" s="22" t="n">
        <x:f>IF('Setup'!$B$22&gt;0,"",I6*('Processes'!F6+V6*'Processes'!H6)*'Processes'!C6*'Setup'!D17/'Processes'!B6)</x:f>
        <x:v>299</x:v>
      </x:c>
      <x:c r="Y6" s="22" t="n">
        <x:f>IF('Setup'!$B$22&gt;0,"",H6*F6)</x:f>
        <x:v>0</x:v>
      </x:c>
      <x:c r="Z6" s="25" t="n">
        <x:f>IF('Setup'!$B$22&gt;0,"",O6+P6)</x:f>
        <x:v>4239.360000000001</x:v>
      </x:c>
      <x:c r="AA6" s="25" t="n">
        <x:f>IF('Setup'!$B$22&gt;0,"",'Processes'!D6*I6*'Processes'!E6*'Processes'!J6)</x:f>
        <x:v>4239.360000000001</x:v>
      </x:c>
    </x:row>
    <x:row r="7" ht="23" customHeight="1">
      <x:c r="A7" s="1" t="str">
        <x:v>Base</x:v>
      </x:c>
      <x:c r="B7" s="1" t="n">
        <x:v>1</x:v>
      </x:c>
      <x:c r="C7" s="1" t="str">
        <x:f>'Processes'!A7</x:f>
        <x:v>Pack</x:v>
      </x:c>
      <x:c r="D7" s="22" t="n">
        <x:f>IF('Setup'!$B$22&gt;0,"",'Staffing'!D6)</x:f>
        <x:v>18</x:v>
      </x:c>
      <x:c r="E7" s="22" t="n">
        <x:f>IF('Setup'!$B$22&gt;0,"",IF(B7&gt;='Processes'!N7,'Processes'!O7,0))</x:f>
        <x:v>0</x:v>
      </x:c>
      <x:c r="F7" s="23" t="n">
        <x:f>IF('Setup'!$B$22&gt;0,"",IF(E7=0,0,INDEX('Setup'!$B$9:$B$13,MIN(5,B7-'Processes'!N7+1))))</x:f>
        <x:v>0</x:v>
      </x:c>
      <x:c r="G7" s="22" t="n">
        <x:f>IF('Setup'!$B$22&gt;0,"",MIN(D7,'Processes'!M7))</x:f>
        <x:v>18</x:v>
      </x:c>
      <x:c r="H7" s="22" t="n">
        <x:f>IF('Setup'!$B$22&gt;0,"",MIN(E7,MAX(0,'Processes'!M7-G7)))</x:f>
        <x:v>0</x:v>
      </x:c>
      <x:c r="I7" s="23" t="n">
        <x:f>IF('Setup'!$B$22&gt;0,"",1-'Processes'!G7-'Setup'!C17)</x:f>
        <x:v>0.92</x:v>
      </x:c>
      <x:c r="J7" s="22" t="n">
        <x:f>IF('Setup'!$B$22&gt;0,"",(G7+H7*F7)*I7*'Processes'!F7)</x:f>
        <x:v>107.64000000000001</x:v>
      </x:c>
      <x:c r="K7" s="22" t="n">
        <x:f>IF('Setup'!$B$22&gt;0,"",(G7+H7*F7)*I7*V7*'Processes'!H7)</x:f>
        <x:v>0</x:v>
      </x:c>
      <x:c r="L7" s="22" t="n">
        <x:f>IF('Setup'!$B$22&gt;0,"",(J7+K7)*'Processes'!C7*'Setup'!D17/'Processes'!B7)</x:f>
        <x:v>6458.400000000001</x:v>
      </x:c>
      <x:c r="M7" s="22" t="n">
        <x:f>IF('Setup'!$B$22&gt;0,"",'Processes'!L7*'Setup'!E17)</x:f>
        <x:v>9000</x:v>
      </x:c>
      <x:c r="N7" s="24" t="n">
        <x:f>IF('Setup'!$B$22&gt;0,"",INT(MIN(L7,M7)))</x:f>
        <x:v>6458</x:v>
      </x:c>
      <x:c r="O7" s="25" t="n">
        <x:f>IF('Setup'!$B$22&gt;0,"",(D7+E7)*I7*'Processes'!E7*'Processes'!J7)</x:f>
        <x:v>3179.5200000000004</x:v>
      </x:c>
      <x:c r="P7" s="25" t="n">
        <x:f>IF('Setup'!$B$22&gt;0,"",(D7+E7)*I7*V7*'Processes'!J7*'Processes'!K7)</x:f>
        <x:v>0</x:v>
      </x:c>
      <x:c r="Q7" s="25" t="n">
        <x:f>IF('Setup'!$B$22&gt;0,"",Z7-AA7)</x:f>
        <x:v>0</x:v>
      </x:c>
      <x:c r="R7" s="22" t="n">
        <x:f>IF('Setup'!$B$22&gt;0,"",D7+E7)</x:f>
        <x:v>18</x:v>
      </x:c>
      <x:c r="S7" s="22" t="n">
        <x:f>IF('Setup'!$B$22&gt;0,"",'Processes'!M7)</x:f>
        <x:v>26</x:v>
      </x:c>
      <x:c r="T7" s="22" t="n">
        <x:f>IF('Setup'!$B$22&gt;0,"",MAX(0,R7-S7))</x:f>
        <x:v>0</x:v>
      </x:c>
      <x:c r="U7" s="22" t="n">
        <x:f>IF('Setup'!$B$22&gt;0,"",'Staffing'!G6)</x:f>
        <x:v>0</x:v>
      </x:c>
      <x:c r="V7" s="22" t="n">
        <x:f>IF('Setup'!$B$22&gt;0,"",MIN(U7,'Processes'!I7))</x:f>
        <x:v>0</x:v>
      </x:c>
      <x:c r="W7" s="22" t="n">
        <x:f>IF('Setup'!$B$22&gt;0,"",MAX(0,U7-V7))</x:f>
        <x:v>0</x:v>
      </x:c>
      <x:c r="X7" s="22" t="n">
        <x:f>IF('Setup'!$B$22&gt;0,"",I7*('Processes'!F7+V7*'Processes'!H7)*'Processes'!C7*'Setup'!D17/'Processes'!B7)</x:f>
        <x:v>358.8</x:v>
      </x:c>
      <x:c r="Y7" s="22" t="n">
        <x:f>IF('Setup'!$B$22&gt;0,"",H7*F7)</x:f>
        <x:v>0</x:v>
      </x:c>
      <x:c r="Z7" s="25" t="n">
        <x:f>IF('Setup'!$B$22&gt;0,"",O7+P7)</x:f>
        <x:v>3179.5200000000004</x:v>
      </x:c>
      <x:c r="AA7" s="25" t="n">
        <x:f>IF('Setup'!$B$22&gt;0,"",'Processes'!D7*I7*'Processes'!E7*'Processes'!J7)</x:f>
        <x:v>3179.5200000000004</x:v>
      </x:c>
    </x:row>
    <x:row r="8" ht="23" customHeight="1">
      <x:c r="A8" s="1" t="str">
        <x:v>Base</x:v>
      </x:c>
      <x:c r="B8" s="1" t="n">
        <x:v>1</x:v>
      </x:c>
      <x:c r="C8" s="1" t="str">
        <x:f>'Processes'!A8</x:f>
        <x:v>Ship</x:v>
      </x:c>
      <x:c r="D8" s="22" t="n">
        <x:f>IF('Setup'!$B$22&gt;0,"",'Staffing'!E6)</x:f>
        <x:v>10</x:v>
      </x:c>
      <x:c r="E8" s="22" t="n">
        <x:f>IF('Setup'!$B$22&gt;0,"",IF(B8&gt;='Processes'!N8,'Processes'!O8,0))</x:f>
        <x:v>0</x:v>
      </x:c>
      <x:c r="F8" s="23" t="n">
        <x:f>IF('Setup'!$B$22&gt;0,"",IF(E8=0,0,INDEX('Setup'!$B$9:$B$13,MIN(5,B8-'Processes'!N8+1))))</x:f>
        <x:v>0</x:v>
      </x:c>
      <x:c r="G8" s="22" t="n">
        <x:f>IF('Setup'!$B$22&gt;0,"",MIN(D8,'Processes'!M8))</x:f>
        <x:v>10</x:v>
      </x:c>
      <x:c r="H8" s="22" t="n">
        <x:f>IF('Setup'!$B$22&gt;0,"",MIN(E8,MAX(0,'Processes'!M8-G8)))</x:f>
        <x:v>0</x:v>
      </x:c>
      <x:c r="I8" s="23" t="n">
        <x:f>IF('Setup'!$B$22&gt;0,"",1-'Processes'!G8-'Setup'!C17)</x:f>
        <x:v>0.92</x:v>
      </x:c>
      <x:c r="J8" s="22" t="n">
        <x:f>IF('Setup'!$B$22&gt;0,"",(G8+H8*F8)*I8*'Processes'!F8)</x:f>
        <x:v>59.800000000000004</x:v>
      </x:c>
      <x:c r="K8" s="22" t="n">
        <x:f>IF('Setup'!$B$22&gt;0,"",(G8+H8*F8)*I8*V8*'Processes'!H8)</x:f>
        <x:v>0</x:v>
      </x:c>
      <x:c r="L8" s="22" t="n">
        <x:f>IF('Setup'!$B$22&gt;0,"",(J8+K8)*'Processes'!C8*'Setup'!D17/'Processes'!B8)</x:f>
        <x:v>5980</x:v>
      </x:c>
      <x:c r="M8" s="22" t="n">
        <x:f>IF('Setup'!$B$22&gt;0,"",'Processes'!L8*'Setup'!E17)</x:f>
        <x:v>8000</x:v>
      </x:c>
      <x:c r="N8" s="24" t="n">
        <x:f>IF('Setup'!$B$22&gt;0,"",INT(MIN(L8,M8)))</x:f>
        <x:v>5980</x:v>
      </x:c>
      <x:c r="O8" s="25" t="n">
        <x:f>IF('Setup'!$B$22&gt;0,"",(D8+E8)*I8*'Processes'!E8*'Processes'!J8)</x:f>
        <x:v>1913.6000000000001</x:v>
      </x:c>
      <x:c r="P8" s="25" t="n">
        <x:f>IF('Setup'!$B$22&gt;0,"",(D8+E8)*I8*V8*'Processes'!J8*'Processes'!K8)</x:f>
        <x:v>0</x:v>
      </x:c>
      <x:c r="Q8" s="25" t="n">
        <x:f>IF('Setup'!$B$22&gt;0,"",Z8-AA8)</x:f>
        <x:v>0</x:v>
      </x:c>
      <x:c r="R8" s="22" t="n">
        <x:f>IF('Setup'!$B$22&gt;0,"",D8+E8)</x:f>
        <x:v>10</x:v>
      </x:c>
      <x:c r="S8" s="22" t="n">
        <x:f>IF('Setup'!$B$22&gt;0,"",'Processes'!M8)</x:f>
        <x:v>16</x:v>
      </x:c>
      <x:c r="T8" s="22" t="n">
        <x:f>IF('Setup'!$B$22&gt;0,"",MAX(0,R8-S8))</x:f>
        <x:v>0</x:v>
      </x:c>
      <x:c r="U8" s="22" t="n">
        <x:f>IF('Setup'!$B$22&gt;0,"",'Staffing'!H6)</x:f>
        <x:v>0</x:v>
      </x:c>
      <x:c r="V8" s="22" t="n">
        <x:f>IF('Setup'!$B$22&gt;0,"",MIN(U8,'Processes'!I8))</x:f>
        <x:v>0</x:v>
      </x:c>
      <x:c r="W8" s="22" t="n">
        <x:f>IF('Setup'!$B$22&gt;0,"",MAX(0,U8-V8))</x:f>
        <x:v>0</x:v>
      </x:c>
      <x:c r="X8" s="22" t="n">
        <x:f>IF('Setup'!$B$22&gt;0,"",I8*('Processes'!F8+V8*'Processes'!H8)*'Processes'!C8*'Setup'!D17/'Processes'!B8)</x:f>
        <x:v>598</x:v>
      </x:c>
      <x:c r="Y8" s="22" t="n">
        <x:f>IF('Setup'!$B$22&gt;0,"",H8*F8)</x:f>
        <x:v>0</x:v>
      </x:c>
      <x:c r="Z8" s="25" t="n">
        <x:f>IF('Setup'!$B$22&gt;0,"",O8+P8)</x:f>
        <x:v>1913.6000000000001</x:v>
      </x:c>
      <x:c r="AA8" s="25" t="n">
        <x:f>IF('Setup'!$B$22&gt;0,"",'Processes'!D8*I8*'Processes'!E8*'Processes'!J8)</x:f>
        <x:v>1913.6000000000001</x:v>
      </x:c>
    </x:row>
    <x:row r="9" ht="23" customHeight="1">
      <x:c r="A9" s="1" t="str">
        <x:v>Base</x:v>
      </x:c>
      <x:c r="B9" s="1" t="n">
        <x:v>2</x:v>
      </x:c>
      <x:c r="C9" s="1" t="str">
        <x:f>'Processes'!A6</x:f>
        <x:v>Pick</x:v>
      </x:c>
      <x:c r="D9" s="22" t="n">
        <x:f>IF('Setup'!$B$22&gt;0,"",'Staffing'!C7)</x:f>
        <x:v>24</x:v>
      </x:c>
      <x:c r="E9" s="22" t="n">
        <x:f>IF('Setup'!$B$22&gt;0,"",IF(B9&gt;='Processes'!N6,'Processes'!O6,0))</x:f>
        <x:v>0</x:v>
      </x:c>
      <x:c r="F9" s="23" t="n">
        <x:f>IF('Setup'!$B$22&gt;0,"",IF(E9=0,0,INDEX('Setup'!$B$9:$B$13,MIN(5,B9-'Processes'!N6+1))))</x:f>
        <x:v>0</x:v>
      </x:c>
      <x:c r="G9" s="22" t="n">
        <x:f>IF('Setup'!$B$22&gt;0,"",MIN(D9,'Processes'!M6))</x:f>
        <x:v>24</x:v>
      </x:c>
      <x:c r="H9" s="22" t="n">
        <x:f>IF('Setup'!$B$22&gt;0,"",MIN(E9,MAX(0,'Processes'!M6-G9)))</x:f>
        <x:v>0</x:v>
      </x:c>
      <x:c r="I9" s="23" t="n">
        <x:f>IF('Setup'!$B$22&gt;0,"",1-'Processes'!G6-'Setup'!C17)</x:f>
        <x:v>0.92</x:v>
      </x:c>
      <x:c r="J9" s="22" t="n">
        <x:f>IF('Setup'!$B$22&gt;0,"",(G9+H9*F9)*I9*'Processes'!F6)</x:f>
        <x:v>143.52</x:v>
      </x:c>
      <x:c r="K9" s="22" t="n">
        <x:f>IF('Setup'!$B$22&gt;0,"",(G9+H9*F9)*I9*V9*'Processes'!H6)</x:f>
        <x:v>0</x:v>
      </x:c>
      <x:c r="L9" s="22" t="n">
        <x:f>IF('Setup'!$B$22&gt;0,"",(J9+K9)*'Processes'!C6*'Setup'!D17/'Processes'!B6)</x:f>
        <x:v>7176.000000000001</x:v>
      </x:c>
      <x:c r="M9" s="22" t="n">
        <x:f>IF('Setup'!$B$22&gt;0,"",'Processes'!L6*'Setup'!E17)</x:f>
        <x:v>10000</x:v>
      </x:c>
      <x:c r="N9" s="24" t="n">
        <x:f>IF('Setup'!$B$22&gt;0,"",INT(MIN(L9,M9)))</x:f>
        <x:v>7176</x:v>
      </x:c>
      <x:c r="O9" s="25" t="n">
        <x:f>IF('Setup'!$B$22&gt;0,"",(D9+E9)*I9*'Processes'!E6*'Processes'!J6)</x:f>
        <x:v>4239.360000000001</x:v>
      </x:c>
      <x:c r="P9" s="25" t="n">
        <x:f>IF('Setup'!$B$22&gt;0,"",(D9+E9)*I9*V9*'Processes'!J6*'Processes'!K6)</x:f>
        <x:v>0</x:v>
      </x:c>
      <x:c r="Q9" s="25" t="n">
        <x:f>IF('Setup'!$B$22&gt;0,"",Z9-AA9)</x:f>
        <x:v>0</x:v>
      </x:c>
      <x:c r="R9" s="22" t="n">
        <x:f>IF('Setup'!$B$22&gt;0,"",D9+E9)</x:f>
        <x:v>24</x:v>
      </x:c>
      <x:c r="S9" s="22" t="n">
        <x:f>IF('Setup'!$B$22&gt;0,"",'Processes'!M6)</x:f>
        <x:v>32</x:v>
      </x:c>
      <x:c r="T9" s="22" t="n">
        <x:f>IF('Setup'!$B$22&gt;0,"",MAX(0,R9-S9))</x:f>
        <x:v>0</x:v>
      </x:c>
      <x:c r="U9" s="22" t="n">
        <x:f>IF('Setup'!$B$22&gt;0,"",'Staffing'!F7)</x:f>
        <x:v>0</x:v>
      </x:c>
      <x:c r="V9" s="22" t="n">
        <x:f>IF('Setup'!$B$22&gt;0,"",MIN(U9,'Processes'!I6))</x:f>
        <x:v>0</x:v>
      </x:c>
      <x:c r="W9" s="22" t="n">
        <x:f>IF('Setup'!$B$22&gt;0,"",MAX(0,U9-V9))</x:f>
        <x:v>0</x:v>
      </x:c>
      <x:c r="X9" s="22" t="n">
        <x:f>IF('Setup'!$B$22&gt;0,"",I9*('Processes'!F6+V9*'Processes'!H6)*'Processes'!C6*'Setup'!D17/'Processes'!B6)</x:f>
        <x:v>299</x:v>
      </x:c>
      <x:c r="Y9" s="22" t="n">
        <x:f>IF('Setup'!$B$22&gt;0,"",H9*F9)</x:f>
        <x:v>0</x:v>
      </x:c>
      <x:c r="Z9" s="25" t="n">
        <x:f>IF('Setup'!$B$22&gt;0,"",O9+P9)</x:f>
        <x:v>4239.360000000001</x:v>
      </x:c>
      <x:c r="AA9" s="25" t="n">
        <x:f>IF('Setup'!$B$22&gt;0,"",'Processes'!D6*I9*'Processes'!E6*'Processes'!J6)</x:f>
        <x:v>4239.360000000001</x:v>
      </x:c>
    </x:row>
    <x:row r="10" ht="23" customHeight="1">
      <x:c r="A10" s="1" t="str">
        <x:v>Base</x:v>
      </x:c>
      <x:c r="B10" s="1" t="n">
        <x:v>2</x:v>
      </x:c>
      <x:c r="C10" s="1" t="str">
        <x:f>'Processes'!A7</x:f>
        <x:v>Pack</x:v>
      </x:c>
      <x:c r="D10" s="22" t="n">
        <x:f>IF('Setup'!$B$22&gt;0,"",'Staffing'!D7)</x:f>
        <x:v>18</x:v>
      </x:c>
      <x:c r="E10" s="22" t="n">
        <x:f>IF('Setup'!$B$22&gt;0,"",IF(B10&gt;='Processes'!N7,'Processes'!O7,0))</x:f>
        <x:v>0</x:v>
      </x:c>
      <x:c r="F10" s="23" t="n">
        <x:f>IF('Setup'!$B$22&gt;0,"",IF(E10=0,0,INDEX('Setup'!$B$9:$B$13,MIN(5,B10-'Processes'!N7+1))))</x:f>
        <x:v>0</x:v>
      </x:c>
      <x:c r="G10" s="22" t="n">
        <x:f>IF('Setup'!$B$22&gt;0,"",MIN(D10,'Processes'!M7))</x:f>
        <x:v>18</x:v>
      </x:c>
      <x:c r="H10" s="22" t="n">
        <x:f>IF('Setup'!$B$22&gt;0,"",MIN(E10,MAX(0,'Processes'!M7-G10)))</x:f>
        <x:v>0</x:v>
      </x:c>
      <x:c r="I10" s="23" t="n">
        <x:f>IF('Setup'!$B$22&gt;0,"",1-'Processes'!G7-'Setup'!C17)</x:f>
        <x:v>0.92</x:v>
      </x:c>
      <x:c r="J10" s="22" t="n">
        <x:f>IF('Setup'!$B$22&gt;0,"",(G10+H10*F10)*I10*'Processes'!F7)</x:f>
        <x:v>107.64000000000001</x:v>
      </x:c>
      <x:c r="K10" s="22" t="n">
        <x:f>IF('Setup'!$B$22&gt;0,"",(G10+H10*F10)*I10*V10*'Processes'!H7)</x:f>
        <x:v>0</x:v>
      </x:c>
      <x:c r="L10" s="22" t="n">
        <x:f>IF('Setup'!$B$22&gt;0,"",(J10+K10)*'Processes'!C7*'Setup'!D17/'Processes'!B7)</x:f>
        <x:v>6458.400000000001</x:v>
      </x:c>
      <x:c r="M10" s="22" t="n">
        <x:f>IF('Setup'!$B$22&gt;0,"",'Processes'!L7*'Setup'!E17)</x:f>
        <x:v>9000</x:v>
      </x:c>
      <x:c r="N10" s="24" t="n">
        <x:f>IF('Setup'!$B$22&gt;0,"",INT(MIN(L10,M10)))</x:f>
        <x:v>6458</x:v>
      </x:c>
      <x:c r="O10" s="25" t="n">
        <x:f>IF('Setup'!$B$22&gt;0,"",(D10+E10)*I10*'Processes'!E7*'Processes'!J7)</x:f>
        <x:v>3179.5200000000004</x:v>
      </x:c>
      <x:c r="P10" s="25" t="n">
        <x:f>IF('Setup'!$B$22&gt;0,"",(D10+E10)*I10*V10*'Processes'!J7*'Processes'!K7)</x:f>
        <x:v>0</x:v>
      </x:c>
      <x:c r="Q10" s="25" t="n">
        <x:f>IF('Setup'!$B$22&gt;0,"",Z10-AA10)</x:f>
        <x:v>0</x:v>
      </x:c>
      <x:c r="R10" s="22" t="n">
        <x:f>IF('Setup'!$B$22&gt;0,"",D10+E10)</x:f>
        <x:v>18</x:v>
      </x:c>
      <x:c r="S10" s="22" t="n">
        <x:f>IF('Setup'!$B$22&gt;0,"",'Processes'!M7)</x:f>
        <x:v>26</x:v>
      </x:c>
      <x:c r="T10" s="22" t="n">
        <x:f>IF('Setup'!$B$22&gt;0,"",MAX(0,R10-S10))</x:f>
        <x:v>0</x:v>
      </x:c>
      <x:c r="U10" s="22" t="n">
        <x:f>IF('Setup'!$B$22&gt;0,"",'Staffing'!G7)</x:f>
        <x:v>0</x:v>
      </x:c>
      <x:c r="V10" s="22" t="n">
        <x:f>IF('Setup'!$B$22&gt;0,"",MIN(U10,'Processes'!I7))</x:f>
        <x:v>0</x:v>
      </x:c>
      <x:c r="W10" s="22" t="n">
        <x:f>IF('Setup'!$B$22&gt;0,"",MAX(0,U10-V10))</x:f>
        <x:v>0</x:v>
      </x:c>
      <x:c r="X10" s="22" t="n">
        <x:f>IF('Setup'!$B$22&gt;0,"",I10*('Processes'!F7+V10*'Processes'!H7)*'Processes'!C7*'Setup'!D17/'Processes'!B7)</x:f>
        <x:v>358.8</x:v>
      </x:c>
      <x:c r="Y10" s="22" t="n">
        <x:f>IF('Setup'!$B$22&gt;0,"",H10*F10)</x:f>
        <x:v>0</x:v>
      </x:c>
      <x:c r="Z10" s="25" t="n">
        <x:f>IF('Setup'!$B$22&gt;0,"",O10+P10)</x:f>
        <x:v>3179.5200000000004</x:v>
      </x:c>
      <x:c r="AA10" s="25" t="n">
        <x:f>IF('Setup'!$B$22&gt;0,"",'Processes'!D7*I10*'Processes'!E7*'Processes'!J7)</x:f>
        <x:v>3179.5200000000004</x:v>
      </x:c>
    </x:row>
    <x:row r="11" ht="23" customHeight="1">
      <x:c r="A11" s="1" t="str">
        <x:v>Base</x:v>
      </x:c>
      <x:c r="B11" s="1" t="n">
        <x:v>2</x:v>
      </x:c>
      <x:c r="C11" s="1" t="str">
        <x:f>'Processes'!A8</x:f>
        <x:v>Ship</x:v>
      </x:c>
      <x:c r="D11" s="22" t="n">
        <x:f>IF('Setup'!$B$22&gt;0,"",'Staffing'!E7)</x:f>
        <x:v>10</x:v>
      </x:c>
      <x:c r="E11" s="22" t="n">
        <x:f>IF('Setup'!$B$22&gt;0,"",IF(B11&gt;='Processes'!N8,'Processes'!O8,0))</x:f>
        <x:v>0</x:v>
      </x:c>
      <x:c r="F11" s="23" t="n">
        <x:f>IF('Setup'!$B$22&gt;0,"",IF(E11=0,0,INDEX('Setup'!$B$9:$B$13,MIN(5,B11-'Processes'!N8+1))))</x:f>
        <x:v>0</x:v>
      </x:c>
      <x:c r="G11" s="22" t="n">
        <x:f>IF('Setup'!$B$22&gt;0,"",MIN(D11,'Processes'!M8))</x:f>
        <x:v>10</x:v>
      </x:c>
      <x:c r="H11" s="22" t="n">
        <x:f>IF('Setup'!$B$22&gt;0,"",MIN(E11,MAX(0,'Processes'!M8-G11)))</x:f>
        <x:v>0</x:v>
      </x:c>
      <x:c r="I11" s="23" t="n">
        <x:f>IF('Setup'!$B$22&gt;0,"",1-'Processes'!G8-'Setup'!C17)</x:f>
        <x:v>0.92</x:v>
      </x:c>
      <x:c r="J11" s="22" t="n">
        <x:f>IF('Setup'!$B$22&gt;0,"",(G11+H11*F11)*I11*'Processes'!F8)</x:f>
        <x:v>59.800000000000004</x:v>
      </x:c>
      <x:c r="K11" s="22" t="n">
        <x:f>IF('Setup'!$B$22&gt;0,"",(G11+H11*F11)*I11*V11*'Processes'!H8)</x:f>
        <x:v>0</x:v>
      </x:c>
      <x:c r="L11" s="22" t="n">
        <x:f>IF('Setup'!$B$22&gt;0,"",(J11+K11)*'Processes'!C8*'Setup'!D17/'Processes'!B8)</x:f>
        <x:v>5980</x:v>
      </x:c>
      <x:c r="M11" s="22" t="n">
        <x:f>IF('Setup'!$B$22&gt;0,"",'Processes'!L8*'Setup'!E17)</x:f>
        <x:v>8000</x:v>
      </x:c>
      <x:c r="N11" s="24" t="n">
        <x:f>IF('Setup'!$B$22&gt;0,"",INT(MIN(L11,M11)))</x:f>
        <x:v>5980</x:v>
      </x:c>
      <x:c r="O11" s="25" t="n">
        <x:f>IF('Setup'!$B$22&gt;0,"",(D11+E11)*I11*'Processes'!E8*'Processes'!J8)</x:f>
        <x:v>1913.6000000000001</x:v>
      </x:c>
      <x:c r="P11" s="25" t="n">
        <x:f>IF('Setup'!$B$22&gt;0,"",(D11+E11)*I11*V11*'Processes'!J8*'Processes'!K8)</x:f>
        <x:v>0</x:v>
      </x:c>
      <x:c r="Q11" s="25" t="n">
        <x:f>IF('Setup'!$B$22&gt;0,"",Z11-AA11)</x:f>
        <x:v>0</x:v>
      </x:c>
      <x:c r="R11" s="22" t="n">
        <x:f>IF('Setup'!$B$22&gt;0,"",D11+E11)</x:f>
        <x:v>10</x:v>
      </x:c>
      <x:c r="S11" s="22" t="n">
        <x:f>IF('Setup'!$B$22&gt;0,"",'Processes'!M8)</x:f>
        <x:v>16</x:v>
      </x:c>
      <x:c r="T11" s="22" t="n">
        <x:f>IF('Setup'!$B$22&gt;0,"",MAX(0,R11-S11))</x:f>
        <x:v>0</x:v>
      </x:c>
      <x:c r="U11" s="22" t="n">
        <x:f>IF('Setup'!$B$22&gt;0,"",'Staffing'!H7)</x:f>
        <x:v>0</x:v>
      </x:c>
      <x:c r="V11" s="22" t="n">
        <x:f>IF('Setup'!$B$22&gt;0,"",MIN(U11,'Processes'!I8))</x:f>
        <x:v>0</x:v>
      </x:c>
      <x:c r="W11" s="22" t="n">
        <x:f>IF('Setup'!$B$22&gt;0,"",MAX(0,U11-V11))</x:f>
        <x:v>0</x:v>
      </x:c>
      <x:c r="X11" s="22" t="n">
        <x:f>IF('Setup'!$B$22&gt;0,"",I11*('Processes'!F8+V11*'Processes'!H8)*'Processes'!C8*'Setup'!D17/'Processes'!B8)</x:f>
        <x:v>598</x:v>
      </x:c>
      <x:c r="Y11" s="22" t="n">
        <x:f>IF('Setup'!$B$22&gt;0,"",H11*F11)</x:f>
        <x:v>0</x:v>
      </x:c>
      <x:c r="Z11" s="25" t="n">
        <x:f>IF('Setup'!$B$22&gt;0,"",O11+P11)</x:f>
        <x:v>1913.6000000000001</x:v>
      </x:c>
      <x:c r="AA11" s="25" t="n">
        <x:f>IF('Setup'!$B$22&gt;0,"",'Processes'!D8*I11*'Processes'!E8*'Processes'!J8)</x:f>
        <x:v>1913.6000000000001</x:v>
      </x:c>
    </x:row>
    <x:row r="12" ht="23" customHeight="1">
      <x:c r="A12" s="1" t="str">
        <x:v>Base</x:v>
      </x:c>
      <x:c r="B12" s="1" t="n">
        <x:v>3</x:v>
      </x:c>
      <x:c r="C12" s="1" t="str">
        <x:f>'Processes'!A6</x:f>
        <x:v>Pick</x:v>
      </x:c>
      <x:c r="D12" s="22" t="n">
        <x:f>IF('Setup'!$B$22&gt;0,"",'Staffing'!C8)</x:f>
        <x:v>24</x:v>
      </x:c>
      <x:c r="E12" s="22" t="n">
        <x:f>IF('Setup'!$B$22&gt;0,"",IF(B12&gt;='Processes'!N6,'Processes'!O6,0))</x:f>
        <x:v>4</x:v>
      </x:c>
      <x:c r="F12" s="23" t="n">
        <x:f>IF('Setup'!$B$22&gt;0,"",IF(E12=0,0,INDEX('Setup'!$B$9:$B$13,MIN(5,B12-'Processes'!N6+1))))</x:f>
        <x:v>0.5</x:v>
      </x:c>
      <x:c r="G12" s="22" t="n">
        <x:f>IF('Setup'!$B$22&gt;0,"",MIN(D12,'Processes'!M6))</x:f>
        <x:v>24</x:v>
      </x:c>
      <x:c r="H12" s="22" t="n">
        <x:f>IF('Setup'!$B$22&gt;0,"",MIN(E12,MAX(0,'Processes'!M6-G12)))</x:f>
        <x:v>4</x:v>
      </x:c>
      <x:c r="I12" s="23" t="n">
        <x:f>IF('Setup'!$B$22&gt;0,"",1-'Processes'!G6-'Setup'!C17)</x:f>
        <x:v>0.92</x:v>
      </x:c>
      <x:c r="J12" s="22" t="n">
        <x:f>IF('Setup'!$B$22&gt;0,"",(G12+H12*F12)*I12*'Processes'!F6)</x:f>
        <x:v>155.48000000000002</x:v>
      </x:c>
      <x:c r="K12" s="22" t="n">
        <x:f>IF('Setup'!$B$22&gt;0,"",(G12+H12*F12)*I12*V12*'Processes'!H6)</x:f>
        <x:v>0</x:v>
      </x:c>
      <x:c r="L12" s="22" t="n">
        <x:f>IF('Setup'!$B$22&gt;0,"",(J12+K12)*'Processes'!C6*'Setup'!D17/'Processes'!B6)</x:f>
        <x:v>7774.000000000001</x:v>
      </x:c>
      <x:c r="M12" s="22" t="n">
        <x:f>IF('Setup'!$B$22&gt;0,"",'Processes'!L6*'Setup'!E17)</x:f>
        <x:v>10000</x:v>
      </x:c>
      <x:c r="N12" s="24" t="n">
        <x:f>IF('Setup'!$B$22&gt;0,"",INT(MIN(L12,M12)))</x:f>
        <x:v>7774</x:v>
      </x:c>
      <x:c r="O12" s="25" t="n">
        <x:f>IF('Setup'!$B$22&gt;0,"",(D12+E12)*I12*'Processes'!E6*'Processes'!J6)</x:f>
        <x:v>4945.92</x:v>
      </x:c>
      <x:c r="P12" s="25" t="n">
        <x:f>IF('Setup'!$B$22&gt;0,"",(D12+E12)*I12*V12*'Processes'!J6*'Processes'!K6)</x:f>
        <x:v>0</x:v>
      </x:c>
      <x:c r="Q12" s="25" t="n">
        <x:f>IF('Setup'!$B$22&gt;0,"",Z12-AA12)</x:f>
        <x:v>706.5599999999995</x:v>
      </x:c>
      <x:c r="R12" s="22" t="n">
        <x:f>IF('Setup'!$B$22&gt;0,"",D12+E12)</x:f>
        <x:v>28</x:v>
      </x:c>
      <x:c r="S12" s="22" t="n">
        <x:f>IF('Setup'!$B$22&gt;0,"",'Processes'!M6)</x:f>
        <x:v>32</x:v>
      </x:c>
      <x:c r="T12" s="22" t="n">
        <x:f>IF('Setup'!$B$22&gt;0,"",MAX(0,R12-S12))</x:f>
        <x:v>0</x:v>
      </x:c>
      <x:c r="U12" s="22" t="n">
        <x:f>IF('Setup'!$B$22&gt;0,"",'Staffing'!F8)</x:f>
        <x:v>0</x:v>
      </x:c>
      <x:c r="V12" s="22" t="n">
        <x:f>IF('Setup'!$B$22&gt;0,"",MIN(U12,'Processes'!I6))</x:f>
        <x:v>0</x:v>
      </x:c>
      <x:c r="W12" s="22" t="n">
        <x:f>IF('Setup'!$B$22&gt;0,"",MAX(0,U12-V12))</x:f>
        <x:v>0</x:v>
      </x:c>
      <x:c r="X12" s="22" t="n">
        <x:f>IF('Setup'!$B$22&gt;0,"",I12*('Processes'!F6+V12*'Processes'!H6)*'Processes'!C6*'Setup'!D17/'Processes'!B6)</x:f>
        <x:v>299</x:v>
      </x:c>
      <x:c r="Y12" s="22" t="n">
        <x:f>IF('Setup'!$B$22&gt;0,"",H12*F12)</x:f>
        <x:v>2</x:v>
      </x:c>
      <x:c r="Z12" s="25" t="n">
        <x:f>IF('Setup'!$B$22&gt;0,"",O12+P12)</x:f>
        <x:v>4945.92</x:v>
      </x:c>
      <x:c r="AA12" s="25" t="n">
        <x:f>IF('Setup'!$B$22&gt;0,"",'Processes'!D6*I12*'Processes'!E6*'Processes'!J6)</x:f>
        <x:v>4239.360000000001</x:v>
      </x:c>
    </x:row>
    <x:row r="13" ht="23" customHeight="1">
      <x:c r="A13" s="1" t="str">
        <x:v>Base</x:v>
      </x:c>
      <x:c r="B13" s="1" t="n">
        <x:v>3</x:v>
      </x:c>
      <x:c r="C13" s="1" t="str">
        <x:f>'Processes'!A7</x:f>
        <x:v>Pack</x:v>
      </x:c>
      <x:c r="D13" s="22" t="n">
        <x:f>IF('Setup'!$B$22&gt;0,"",'Staffing'!D8)</x:f>
        <x:v>18</x:v>
      </x:c>
      <x:c r="E13" s="22" t="n">
        <x:f>IF('Setup'!$B$22&gt;0,"",IF(B13&gt;='Processes'!N7,'Processes'!O7,0))</x:f>
        <x:v>4</x:v>
      </x:c>
      <x:c r="F13" s="23" t="n">
        <x:f>IF('Setup'!$B$22&gt;0,"",IF(E13=0,0,INDEX('Setup'!$B$9:$B$13,MIN(5,B13-'Processes'!N7+1))))</x:f>
        <x:v>0.5</x:v>
      </x:c>
      <x:c r="G13" s="22" t="n">
        <x:f>IF('Setup'!$B$22&gt;0,"",MIN(D13,'Processes'!M7))</x:f>
        <x:v>18</x:v>
      </x:c>
      <x:c r="H13" s="22" t="n">
        <x:f>IF('Setup'!$B$22&gt;0,"",MIN(E13,MAX(0,'Processes'!M7-G13)))</x:f>
        <x:v>4</x:v>
      </x:c>
      <x:c r="I13" s="23" t="n">
        <x:f>IF('Setup'!$B$22&gt;0,"",1-'Processes'!G7-'Setup'!C17)</x:f>
        <x:v>0.92</x:v>
      </x:c>
      <x:c r="J13" s="22" t="n">
        <x:f>IF('Setup'!$B$22&gt;0,"",(G13+H13*F13)*I13*'Processes'!F7)</x:f>
        <x:v>119.60000000000001</x:v>
      </x:c>
      <x:c r="K13" s="22" t="n">
        <x:f>IF('Setup'!$B$22&gt;0,"",(G13+H13*F13)*I13*V13*'Processes'!H7)</x:f>
        <x:v>0</x:v>
      </x:c>
      <x:c r="L13" s="22" t="n">
        <x:f>IF('Setup'!$B$22&gt;0,"",(J13+K13)*'Processes'!C7*'Setup'!D17/'Processes'!B7)</x:f>
        <x:v>7176.000000000001</x:v>
      </x:c>
      <x:c r="M13" s="22" t="n">
        <x:f>IF('Setup'!$B$22&gt;0,"",'Processes'!L7*'Setup'!E17)</x:f>
        <x:v>9000</x:v>
      </x:c>
      <x:c r="N13" s="24" t="n">
        <x:f>IF('Setup'!$B$22&gt;0,"",INT(MIN(L13,M13)))</x:f>
        <x:v>7176</x:v>
      </x:c>
      <x:c r="O13" s="25" t="n">
        <x:f>IF('Setup'!$B$22&gt;0,"",(D13+E13)*I13*'Processes'!E7*'Processes'!J7)</x:f>
        <x:v>3886.0800000000004</x:v>
      </x:c>
      <x:c r="P13" s="25" t="n">
        <x:f>IF('Setup'!$B$22&gt;0,"",(D13+E13)*I13*V13*'Processes'!J7*'Processes'!K7)</x:f>
        <x:v>0</x:v>
      </x:c>
      <x:c r="Q13" s="25" t="n">
        <x:f>IF('Setup'!$B$22&gt;0,"",Z13-AA13)</x:f>
        <x:v>706.56</x:v>
      </x:c>
      <x:c r="R13" s="22" t="n">
        <x:f>IF('Setup'!$B$22&gt;0,"",D13+E13)</x:f>
        <x:v>22</x:v>
      </x:c>
      <x:c r="S13" s="22" t="n">
        <x:f>IF('Setup'!$B$22&gt;0,"",'Processes'!M7)</x:f>
        <x:v>26</x:v>
      </x:c>
      <x:c r="T13" s="22" t="n">
        <x:f>IF('Setup'!$B$22&gt;0,"",MAX(0,R13-S13))</x:f>
        <x:v>0</x:v>
      </x:c>
      <x:c r="U13" s="22" t="n">
        <x:f>IF('Setup'!$B$22&gt;0,"",'Staffing'!G8)</x:f>
        <x:v>0</x:v>
      </x:c>
      <x:c r="V13" s="22" t="n">
        <x:f>IF('Setup'!$B$22&gt;0,"",MIN(U13,'Processes'!I7))</x:f>
        <x:v>0</x:v>
      </x:c>
      <x:c r="W13" s="22" t="n">
        <x:f>IF('Setup'!$B$22&gt;0,"",MAX(0,U13-V13))</x:f>
        <x:v>0</x:v>
      </x:c>
      <x:c r="X13" s="22" t="n">
        <x:f>IF('Setup'!$B$22&gt;0,"",I13*('Processes'!F7+V13*'Processes'!H7)*'Processes'!C7*'Setup'!D17/'Processes'!B7)</x:f>
        <x:v>358.8</x:v>
      </x:c>
      <x:c r="Y13" s="22" t="n">
        <x:f>IF('Setup'!$B$22&gt;0,"",H13*F13)</x:f>
        <x:v>2</x:v>
      </x:c>
      <x:c r="Z13" s="25" t="n">
        <x:f>IF('Setup'!$B$22&gt;0,"",O13+P13)</x:f>
        <x:v>3886.0800000000004</x:v>
      </x:c>
      <x:c r="AA13" s="25" t="n">
        <x:f>IF('Setup'!$B$22&gt;0,"",'Processes'!D7*I13*'Processes'!E7*'Processes'!J7)</x:f>
        <x:v>3179.5200000000004</x:v>
      </x:c>
    </x:row>
    <x:row r="14" ht="23" customHeight="1">
      <x:c r="A14" s="1" t="str">
        <x:v>Base</x:v>
      </x:c>
      <x:c r="B14" s="1" t="n">
        <x:v>3</x:v>
      </x:c>
      <x:c r="C14" s="1" t="str">
        <x:f>'Processes'!A8</x:f>
        <x:v>Ship</x:v>
      </x:c>
      <x:c r="D14" s="22" t="n">
        <x:f>IF('Setup'!$B$22&gt;0,"",'Staffing'!E8)</x:f>
        <x:v>10</x:v>
      </x:c>
      <x:c r="E14" s="22" t="n">
        <x:f>IF('Setup'!$B$22&gt;0,"",IF(B14&gt;='Processes'!N8,'Processes'!O8,0))</x:f>
        <x:v>3</x:v>
      </x:c>
      <x:c r="F14" s="23" t="n">
        <x:f>IF('Setup'!$B$22&gt;0,"",IF(E14=0,0,INDEX('Setup'!$B$9:$B$13,MIN(5,B14-'Processes'!N8+1))))</x:f>
        <x:v>0.5</x:v>
      </x:c>
      <x:c r="G14" s="22" t="n">
        <x:f>IF('Setup'!$B$22&gt;0,"",MIN(D14,'Processes'!M8))</x:f>
        <x:v>10</x:v>
      </x:c>
      <x:c r="H14" s="22" t="n">
        <x:f>IF('Setup'!$B$22&gt;0,"",MIN(E14,MAX(0,'Processes'!M8-G14)))</x:f>
        <x:v>3</x:v>
      </x:c>
      <x:c r="I14" s="23" t="n">
        <x:f>IF('Setup'!$B$22&gt;0,"",1-'Processes'!G8-'Setup'!C17)</x:f>
        <x:v>0.92</x:v>
      </x:c>
      <x:c r="J14" s="22" t="n">
        <x:f>IF('Setup'!$B$22&gt;0,"",(G14+H14*F14)*I14*'Processes'!F8)</x:f>
        <x:v>68.77</x:v>
      </x:c>
      <x:c r="K14" s="22" t="n">
        <x:f>IF('Setup'!$B$22&gt;0,"",(G14+H14*F14)*I14*V14*'Processes'!H8)</x:f>
        <x:v>0</x:v>
      </x:c>
      <x:c r="L14" s="22" t="n">
        <x:f>IF('Setup'!$B$22&gt;0,"",(J14+K14)*'Processes'!C8*'Setup'!D17/'Processes'!B8)</x:f>
        <x:v>6877</x:v>
      </x:c>
      <x:c r="M14" s="22" t="n">
        <x:f>IF('Setup'!$B$22&gt;0,"",'Processes'!L8*'Setup'!E17)</x:f>
        <x:v>8000</x:v>
      </x:c>
      <x:c r="N14" s="24" t="n">
        <x:f>IF('Setup'!$B$22&gt;0,"",INT(MIN(L14,M14)))</x:f>
        <x:v>6877</x:v>
      </x:c>
      <x:c r="O14" s="25" t="n">
        <x:f>IF('Setup'!$B$22&gt;0,"",(D14+E14)*I14*'Processes'!E8*'Processes'!J8)</x:f>
        <x:v>2487.6800000000003</x:v>
      </x:c>
      <x:c r="P14" s="25" t="n">
        <x:f>IF('Setup'!$B$22&gt;0,"",(D14+E14)*I14*V14*'Processes'!J8*'Processes'!K8)</x:f>
        <x:v>0</x:v>
      </x:c>
      <x:c r="Q14" s="25" t="n">
        <x:f>IF('Setup'!$B$22&gt;0,"",Z14-AA14)</x:f>
        <x:v>574.0800000000002</x:v>
      </x:c>
      <x:c r="R14" s="22" t="n">
        <x:f>IF('Setup'!$B$22&gt;0,"",D14+E14)</x:f>
        <x:v>13</x:v>
      </x:c>
      <x:c r="S14" s="22" t="n">
        <x:f>IF('Setup'!$B$22&gt;0,"",'Processes'!M8)</x:f>
        <x:v>16</x:v>
      </x:c>
      <x:c r="T14" s="22" t="n">
        <x:f>IF('Setup'!$B$22&gt;0,"",MAX(0,R14-S14))</x:f>
        <x:v>0</x:v>
      </x:c>
      <x:c r="U14" s="22" t="n">
        <x:f>IF('Setup'!$B$22&gt;0,"",'Staffing'!H8)</x:f>
        <x:v>0</x:v>
      </x:c>
      <x:c r="V14" s="22" t="n">
        <x:f>IF('Setup'!$B$22&gt;0,"",MIN(U14,'Processes'!I8))</x:f>
        <x:v>0</x:v>
      </x:c>
      <x:c r="W14" s="22" t="n">
        <x:f>IF('Setup'!$B$22&gt;0,"",MAX(0,U14-V14))</x:f>
        <x:v>0</x:v>
      </x:c>
      <x:c r="X14" s="22" t="n">
        <x:f>IF('Setup'!$B$22&gt;0,"",I14*('Processes'!F8+V14*'Processes'!H8)*'Processes'!C8*'Setup'!D17/'Processes'!B8)</x:f>
        <x:v>598</x:v>
      </x:c>
      <x:c r="Y14" s="22" t="n">
        <x:f>IF('Setup'!$B$22&gt;0,"",H14*F14)</x:f>
        <x:v>1.5</x:v>
      </x:c>
      <x:c r="Z14" s="25" t="n">
        <x:f>IF('Setup'!$B$22&gt;0,"",O14+P14)</x:f>
        <x:v>2487.6800000000003</x:v>
      </x:c>
      <x:c r="AA14" s="25" t="n">
        <x:f>IF('Setup'!$B$22&gt;0,"",'Processes'!D8*I14*'Processes'!E8*'Processes'!J8)</x:f>
        <x:v>1913.6000000000001</x:v>
      </x:c>
    </x:row>
    <x:row r="15" ht="23" customHeight="1">
      <x:c r="A15" s="1" t="str">
        <x:v>Base</x:v>
      </x:c>
      <x:c r="B15" s="1" t="n">
        <x:v>4</x:v>
      </x:c>
      <x:c r="C15" s="1" t="str">
        <x:f>'Processes'!A6</x:f>
        <x:v>Pick</x:v>
      </x:c>
      <x:c r="D15" s="22" t="n">
        <x:f>IF('Setup'!$B$22&gt;0,"",'Staffing'!C9)</x:f>
        <x:v>24</x:v>
      </x:c>
      <x:c r="E15" s="22" t="n">
        <x:f>IF('Setup'!$B$22&gt;0,"",IF(B15&gt;='Processes'!N6,'Processes'!O6,0))</x:f>
        <x:v>4</x:v>
      </x:c>
      <x:c r="F15" s="23" t="n">
        <x:f>IF('Setup'!$B$22&gt;0,"",IF(E15=0,0,INDEX('Setup'!$B$9:$B$13,MIN(5,B15-'Processes'!N6+1))))</x:f>
        <x:v>0.65</x:v>
      </x:c>
      <x:c r="G15" s="22" t="n">
        <x:f>IF('Setup'!$B$22&gt;0,"",MIN(D15,'Processes'!M6))</x:f>
        <x:v>24</x:v>
      </x:c>
      <x:c r="H15" s="22" t="n">
        <x:f>IF('Setup'!$B$22&gt;0,"",MIN(E15,MAX(0,'Processes'!M6-G15)))</x:f>
        <x:v>4</x:v>
      </x:c>
      <x:c r="I15" s="23" t="n">
        <x:f>IF('Setup'!$B$22&gt;0,"",1-'Processes'!G6-'Setup'!C17)</x:f>
        <x:v>0.92</x:v>
      </x:c>
      <x:c r="J15" s="22" t="n">
        <x:f>IF('Setup'!$B$22&gt;0,"",(G15+H15*F15)*I15*'Processes'!F6)</x:f>
        <x:v>159.068</x:v>
      </x:c>
      <x:c r="K15" s="22" t="n">
        <x:f>IF('Setup'!$B$22&gt;0,"",(G15+H15*F15)*I15*V15*'Processes'!H6)</x:f>
        <x:v>0</x:v>
      </x:c>
      <x:c r="L15" s="22" t="n">
        <x:f>IF('Setup'!$B$22&gt;0,"",(J15+K15)*'Processes'!C6*'Setup'!D17/'Processes'!B6)</x:f>
        <x:v>7953.400000000001</x:v>
      </x:c>
      <x:c r="M15" s="22" t="n">
        <x:f>IF('Setup'!$B$22&gt;0,"",'Processes'!L6*'Setup'!E17)</x:f>
        <x:v>10000</x:v>
      </x:c>
      <x:c r="N15" s="24" t="n">
        <x:f>IF('Setup'!$B$22&gt;0,"",INT(MIN(L15,M15)))</x:f>
        <x:v>7953</x:v>
      </x:c>
      <x:c r="O15" s="25" t="n">
        <x:f>IF('Setup'!$B$22&gt;0,"",(D15+E15)*I15*'Processes'!E6*'Processes'!J6)</x:f>
        <x:v>4945.92</x:v>
      </x:c>
      <x:c r="P15" s="25" t="n">
        <x:f>IF('Setup'!$B$22&gt;0,"",(D15+E15)*I15*V15*'Processes'!J6*'Processes'!K6)</x:f>
        <x:v>0</x:v>
      </x:c>
      <x:c r="Q15" s="25" t="n">
        <x:f>IF('Setup'!$B$22&gt;0,"",Z15-AA15)</x:f>
        <x:v>706.5599999999995</x:v>
      </x:c>
      <x:c r="R15" s="22" t="n">
        <x:f>IF('Setup'!$B$22&gt;0,"",D15+E15)</x:f>
        <x:v>28</x:v>
      </x:c>
      <x:c r="S15" s="22" t="n">
        <x:f>IF('Setup'!$B$22&gt;0,"",'Processes'!M6)</x:f>
        <x:v>32</x:v>
      </x:c>
      <x:c r="T15" s="22" t="n">
        <x:f>IF('Setup'!$B$22&gt;0,"",MAX(0,R15-S15))</x:f>
        <x:v>0</x:v>
      </x:c>
      <x:c r="U15" s="22" t="n">
        <x:f>IF('Setup'!$B$22&gt;0,"",'Staffing'!F9)</x:f>
        <x:v>0</x:v>
      </x:c>
      <x:c r="V15" s="22" t="n">
        <x:f>IF('Setup'!$B$22&gt;0,"",MIN(U15,'Processes'!I6))</x:f>
        <x:v>0</x:v>
      </x:c>
      <x:c r="W15" s="22" t="n">
        <x:f>IF('Setup'!$B$22&gt;0,"",MAX(0,U15-V15))</x:f>
        <x:v>0</x:v>
      </x:c>
      <x:c r="X15" s="22" t="n">
        <x:f>IF('Setup'!$B$22&gt;0,"",I15*('Processes'!F6+V15*'Processes'!H6)*'Processes'!C6*'Setup'!D17/'Processes'!B6)</x:f>
        <x:v>299</x:v>
      </x:c>
      <x:c r="Y15" s="22" t="n">
        <x:f>IF('Setup'!$B$22&gt;0,"",H15*F15)</x:f>
        <x:v>2.6</x:v>
      </x:c>
      <x:c r="Z15" s="25" t="n">
        <x:f>IF('Setup'!$B$22&gt;0,"",O15+P15)</x:f>
        <x:v>4945.92</x:v>
      </x:c>
      <x:c r="AA15" s="25" t="n">
        <x:f>IF('Setup'!$B$22&gt;0,"",'Processes'!D6*I15*'Processes'!E6*'Processes'!J6)</x:f>
        <x:v>4239.360000000001</x:v>
      </x:c>
    </x:row>
    <x:row r="16" ht="23" customHeight="1">
      <x:c r="A16" s="1" t="str">
        <x:v>Base</x:v>
      </x:c>
      <x:c r="B16" s="1" t="n">
        <x:v>4</x:v>
      </x:c>
      <x:c r="C16" s="1" t="str">
        <x:f>'Processes'!A7</x:f>
        <x:v>Pack</x:v>
      </x:c>
      <x:c r="D16" s="22" t="n">
        <x:f>IF('Setup'!$B$22&gt;0,"",'Staffing'!D9)</x:f>
        <x:v>18</x:v>
      </x:c>
      <x:c r="E16" s="22" t="n">
        <x:f>IF('Setup'!$B$22&gt;0,"",IF(B16&gt;='Processes'!N7,'Processes'!O7,0))</x:f>
        <x:v>4</x:v>
      </x:c>
      <x:c r="F16" s="23" t="n">
        <x:f>IF('Setup'!$B$22&gt;0,"",IF(E16=0,0,INDEX('Setup'!$B$9:$B$13,MIN(5,B16-'Processes'!N7+1))))</x:f>
        <x:v>0.65</x:v>
      </x:c>
      <x:c r="G16" s="22" t="n">
        <x:f>IF('Setup'!$B$22&gt;0,"",MIN(D16,'Processes'!M7))</x:f>
        <x:v>18</x:v>
      </x:c>
      <x:c r="H16" s="22" t="n">
        <x:f>IF('Setup'!$B$22&gt;0,"",MIN(E16,MAX(0,'Processes'!M7-G16)))</x:f>
        <x:v>4</x:v>
      </x:c>
      <x:c r="I16" s="23" t="n">
        <x:f>IF('Setup'!$B$22&gt;0,"",1-'Processes'!G7-'Setup'!C17)</x:f>
        <x:v>0.92</x:v>
      </x:c>
      <x:c r="J16" s="22" t="n">
        <x:f>IF('Setup'!$B$22&gt;0,"",(G16+H16*F16)*I16*'Processes'!F7)</x:f>
        <x:v>123.18800000000002</x:v>
      </x:c>
      <x:c r="K16" s="22" t="n">
        <x:f>IF('Setup'!$B$22&gt;0,"",(G16+H16*F16)*I16*V16*'Processes'!H7)</x:f>
        <x:v>0</x:v>
      </x:c>
      <x:c r="L16" s="22" t="n">
        <x:f>IF('Setup'!$B$22&gt;0,"",(J16+K16)*'Processes'!C7*'Setup'!D17/'Processes'!B7)</x:f>
        <x:v>7391.280000000001</x:v>
      </x:c>
      <x:c r="M16" s="22" t="n">
        <x:f>IF('Setup'!$B$22&gt;0,"",'Processes'!L7*'Setup'!E17)</x:f>
        <x:v>9000</x:v>
      </x:c>
      <x:c r="N16" s="24" t="n">
        <x:f>IF('Setup'!$B$22&gt;0,"",INT(MIN(L16,M16)))</x:f>
        <x:v>7391</x:v>
      </x:c>
      <x:c r="O16" s="25" t="n">
        <x:f>IF('Setup'!$B$22&gt;0,"",(D16+E16)*I16*'Processes'!E7*'Processes'!J7)</x:f>
        <x:v>3886.0800000000004</x:v>
      </x:c>
      <x:c r="P16" s="25" t="n">
        <x:f>IF('Setup'!$B$22&gt;0,"",(D16+E16)*I16*V16*'Processes'!J7*'Processes'!K7)</x:f>
        <x:v>0</x:v>
      </x:c>
      <x:c r="Q16" s="25" t="n">
        <x:f>IF('Setup'!$B$22&gt;0,"",Z16-AA16)</x:f>
        <x:v>706.56</x:v>
      </x:c>
      <x:c r="R16" s="22" t="n">
        <x:f>IF('Setup'!$B$22&gt;0,"",D16+E16)</x:f>
        <x:v>22</x:v>
      </x:c>
      <x:c r="S16" s="22" t="n">
        <x:f>IF('Setup'!$B$22&gt;0,"",'Processes'!M7)</x:f>
        <x:v>26</x:v>
      </x:c>
      <x:c r="T16" s="22" t="n">
        <x:f>IF('Setup'!$B$22&gt;0,"",MAX(0,R16-S16))</x:f>
        <x:v>0</x:v>
      </x:c>
      <x:c r="U16" s="22" t="n">
        <x:f>IF('Setup'!$B$22&gt;0,"",'Staffing'!G9)</x:f>
        <x:v>0</x:v>
      </x:c>
      <x:c r="V16" s="22" t="n">
        <x:f>IF('Setup'!$B$22&gt;0,"",MIN(U16,'Processes'!I7))</x:f>
        <x:v>0</x:v>
      </x:c>
      <x:c r="W16" s="22" t="n">
        <x:f>IF('Setup'!$B$22&gt;0,"",MAX(0,U16-V16))</x:f>
        <x:v>0</x:v>
      </x:c>
      <x:c r="X16" s="22" t="n">
        <x:f>IF('Setup'!$B$22&gt;0,"",I16*('Processes'!F7+V16*'Processes'!H7)*'Processes'!C7*'Setup'!D17/'Processes'!B7)</x:f>
        <x:v>358.8</x:v>
      </x:c>
      <x:c r="Y16" s="22" t="n">
        <x:f>IF('Setup'!$B$22&gt;0,"",H16*F16)</x:f>
        <x:v>2.6</x:v>
      </x:c>
      <x:c r="Z16" s="25" t="n">
        <x:f>IF('Setup'!$B$22&gt;0,"",O16+P16)</x:f>
        <x:v>3886.0800000000004</x:v>
      </x:c>
      <x:c r="AA16" s="25" t="n">
        <x:f>IF('Setup'!$B$22&gt;0,"",'Processes'!D7*I16*'Processes'!E7*'Processes'!J7)</x:f>
        <x:v>3179.5200000000004</x:v>
      </x:c>
    </x:row>
    <x:row r="17" ht="23" customHeight="1">
      <x:c r="A17" s="1" t="str">
        <x:v>Base</x:v>
      </x:c>
      <x:c r="B17" s="1" t="n">
        <x:v>4</x:v>
      </x:c>
      <x:c r="C17" s="1" t="str">
        <x:f>'Processes'!A8</x:f>
        <x:v>Ship</x:v>
      </x:c>
      <x:c r="D17" s="22" t="n">
        <x:f>IF('Setup'!$B$22&gt;0,"",'Staffing'!E9)</x:f>
        <x:v>10</x:v>
      </x:c>
      <x:c r="E17" s="22" t="n">
        <x:f>IF('Setup'!$B$22&gt;0,"",IF(B17&gt;='Processes'!N8,'Processes'!O8,0))</x:f>
        <x:v>3</x:v>
      </x:c>
      <x:c r="F17" s="23" t="n">
        <x:f>IF('Setup'!$B$22&gt;0,"",IF(E17=0,0,INDEX('Setup'!$B$9:$B$13,MIN(5,B17-'Processes'!N8+1))))</x:f>
        <x:v>0.65</x:v>
      </x:c>
      <x:c r="G17" s="22" t="n">
        <x:f>IF('Setup'!$B$22&gt;0,"",MIN(D17,'Processes'!M8))</x:f>
        <x:v>10</x:v>
      </x:c>
      <x:c r="H17" s="22" t="n">
        <x:f>IF('Setup'!$B$22&gt;0,"",MIN(E17,MAX(0,'Processes'!M8-G17)))</x:f>
        <x:v>3</x:v>
      </x:c>
      <x:c r="I17" s="23" t="n">
        <x:f>IF('Setup'!$B$22&gt;0,"",1-'Processes'!G8-'Setup'!C17)</x:f>
        <x:v>0.92</x:v>
      </x:c>
      <x:c r="J17" s="22" t="n">
        <x:f>IF('Setup'!$B$22&gt;0,"",(G17+H17*F17)*I17*'Processes'!F8)</x:f>
        <x:v>71.461</x:v>
      </x:c>
      <x:c r="K17" s="22" t="n">
        <x:f>IF('Setup'!$B$22&gt;0,"",(G17+H17*F17)*I17*V17*'Processes'!H8)</x:f>
        <x:v>0</x:v>
      </x:c>
      <x:c r="L17" s="22" t="n">
        <x:f>IF('Setup'!$B$22&gt;0,"",(J17+K17)*'Processes'!C8*'Setup'!D17/'Processes'!B8)</x:f>
        <x:v>7146.099999999999</x:v>
      </x:c>
      <x:c r="M17" s="22" t="n">
        <x:f>IF('Setup'!$B$22&gt;0,"",'Processes'!L8*'Setup'!E17)</x:f>
        <x:v>8000</x:v>
      </x:c>
      <x:c r="N17" s="24" t="n">
        <x:f>IF('Setup'!$B$22&gt;0,"",INT(MIN(L17,M17)))</x:f>
        <x:v>7146</x:v>
      </x:c>
      <x:c r="O17" s="25" t="n">
        <x:f>IF('Setup'!$B$22&gt;0,"",(D17+E17)*I17*'Processes'!E8*'Processes'!J8)</x:f>
        <x:v>2487.6800000000003</x:v>
      </x:c>
      <x:c r="P17" s="25" t="n">
        <x:f>IF('Setup'!$B$22&gt;0,"",(D17+E17)*I17*V17*'Processes'!J8*'Processes'!K8)</x:f>
        <x:v>0</x:v>
      </x:c>
      <x:c r="Q17" s="25" t="n">
        <x:f>IF('Setup'!$B$22&gt;0,"",Z17-AA17)</x:f>
        <x:v>574.0800000000002</x:v>
      </x:c>
      <x:c r="R17" s="22" t="n">
        <x:f>IF('Setup'!$B$22&gt;0,"",D17+E17)</x:f>
        <x:v>13</x:v>
      </x:c>
      <x:c r="S17" s="22" t="n">
        <x:f>IF('Setup'!$B$22&gt;0,"",'Processes'!M8)</x:f>
        <x:v>16</x:v>
      </x:c>
      <x:c r="T17" s="22" t="n">
        <x:f>IF('Setup'!$B$22&gt;0,"",MAX(0,R17-S17))</x:f>
        <x:v>0</x:v>
      </x:c>
      <x:c r="U17" s="22" t="n">
        <x:f>IF('Setup'!$B$22&gt;0,"",'Staffing'!H9)</x:f>
        <x:v>0</x:v>
      </x:c>
      <x:c r="V17" s="22" t="n">
        <x:f>IF('Setup'!$B$22&gt;0,"",MIN(U17,'Processes'!I8))</x:f>
        <x:v>0</x:v>
      </x:c>
      <x:c r="W17" s="22" t="n">
        <x:f>IF('Setup'!$B$22&gt;0,"",MAX(0,U17-V17))</x:f>
        <x:v>0</x:v>
      </x:c>
      <x:c r="X17" s="22" t="n">
        <x:f>IF('Setup'!$B$22&gt;0,"",I17*('Processes'!F8+V17*'Processes'!H8)*'Processes'!C8*'Setup'!D17/'Processes'!B8)</x:f>
        <x:v>598</x:v>
      </x:c>
      <x:c r="Y17" s="22" t="n">
        <x:f>IF('Setup'!$B$22&gt;0,"",H17*F17)</x:f>
        <x:v>1.9500000000000002</x:v>
      </x:c>
      <x:c r="Z17" s="25" t="n">
        <x:f>IF('Setup'!$B$22&gt;0,"",O17+P17)</x:f>
        <x:v>2487.6800000000003</x:v>
      </x:c>
      <x:c r="AA17" s="25" t="n">
        <x:f>IF('Setup'!$B$22&gt;0,"",'Processes'!D8*I17*'Processes'!E8*'Processes'!J8)</x:f>
        <x:v>1913.6000000000001</x:v>
      </x:c>
    </x:row>
    <x:row r="18" ht="23" customHeight="1">
      <x:c r="A18" s="1" t="str">
        <x:v>Base</x:v>
      </x:c>
      <x:c r="B18" s="1" t="n">
        <x:v>5</x:v>
      </x:c>
      <x:c r="C18" s="1" t="str">
        <x:f>'Processes'!A6</x:f>
        <x:v>Pick</x:v>
      </x:c>
      <x:c r="D18" s="22" t="n">
        <x:f>IF('Setup'!$B$22&gt;0,"",'Staffing'!C10)</x:f>
        <x:v>24</x:v>
      </x:c>
      <x:c r="E18" s="22" t="n">
        <x:f>IF('Setup'!$B$22&gt;0,"",IF(B18&gt;='Processes'!N6,'Processes'!O6,0))</x:f>
        <x:v>4</x:v>
      </x:c>
      <x:c r="F18" s="23" t="n">
        <x:f>IF('Setup'!$B$22&gt;0,"",IF(E18=0,0,INDEX('Setup'!$B$9:$B$13,MIN(5,B18-'Processes'!N6+1))))</x:f>
        <x:v>0.8</x:v>
      </x:c>
      <x:c r="G18" s="22" t="n">
        <x:f>IF('Setup'!$B$22&gt;0,"",MIN(D18,'Processes'!M6))</x:f>
        <x:v>24</x:v>
      </x:c>
      <x:c r="H18" s="22" t="n">
        <x:f>IF('Setup'!$B$22&gt;0,"",MIN(E18,MAX(0,'Processes'!M6-G18)))</x:f>
        <x:v>4</x:v>
      </x:c>
      <x:c r="I18" s="23" t="n">
        <x:f>IF('Setup'!$B$22&gt;0,"",1-'Processes'!G6-'Setup'!C17)</x:f>
        <x:v>0.92</x:v>
      </x:c>
      <x:c r="J18" s="22" t="n">
        <x:f>IF('Setup'!$B$22&gt;0,"",(G18+H18*F18)*I18*'Processes'!F6)</x:f>
        <x:v>162.656</x:v>
      </x:c>
      <x:c r="K18" s="22" t="n">
        <x:f>IF('Setup'!$B$22&gt;0,"",(G18+H18*F18)*I18*V18*'Processes'!H6)</x:f>
        <x:v>22.521600000000003</x:v>
      </x:c>
      <x:c r="L18" s="22" t="n">
        <x:f>IF('Setup'!$B$22&gt;0,"",(J18+K18)*'Processes'!C6*'Setup'!D17/'Processes'!B6)</x:f>
        <x:v>9258.880000000001</x:v>
      </x:c>
      <x:c r="M18" s="22" t="n">
        <x:f>IF('Setup'!$B$22&gt;0,"",'Processes'!L6*'Setup'!E17)</x:f>
        <x:v>10000</x:v>
      </x:c>
      <x:c r="N18" s="24" t="n">
        <x:f>IF('Setup'!$B$22&gt;0,"",INT(MIN(L18,M18)))</x:f>
        <x:v>9258</x:v>
      </x:c>
      <x:c r="O18" s="25" t="n">
        <x:f>IF('Setup'!$B$22&gt;0,"",(D18+E18)*I18*'Processes'!E6*'Processes'!J6)</x:f>
        <x:v>4945.92</x:v>
      </x:c>
      <x:c r="P18" s="25" t="n">
        <x:f>IF('Setup'!$B$22&gt;0,"",(D18+E18)*I18*V18*'Processes'!J6*'Processes'!K6)</x:f>
        <x:v>927.36</x:v>
      </x:c>
      <x:c r="Q18" s="25" t="n">
        <x:f>IF('Setup'!$B$22&gt;0,"",Z18-AA18)</x:f>
        <x:v>1633.9199999999992</x:v>
      </x:c>
      <x:c r="R18" s="22" t="n">
        <x:f>IF('Setup'!$B$22&gt;0,"",D18+E18)</x:f>
        <x:v>28</x:v>
      </x:c>
      <x:c r="S18" s="22" t="n">
        <x:f>IF('Setup'!$B$22&gt;0,"",'Processes'!M6)</x:f>
        <x:v>32</x:v>
      </x:c>
      <x:c r="T18" s="22" t="n">
        <x:f>IF('Setup'!$B$22&gt;0,"",MAX(0,R18-S18))</x:f>
        <x:v>0</x:v>
      </x:c>
      <x:c r="U18" s="22" t="n">
        <x:f>IF('Setup'!$B$22&gt;0,"",'Staffing'!F10)</x:f>
        <x:v>1</x:v>
      </x:c>
      <x:c r="V18" s="22" t="n">
        <x:f>IF('Setup'!$B$22&gt;0,"",MIN(U18,'Processes'!I6))</x:f>
        <x:v>1</x:v>
      </x:c>
      <x:c r="W18" s="22" t="n">
        <x:f>IF('Setup'!$B$22&gt;0,"",MAX(0,U18-V18))</x:f>
        <x:v>0</x:v>
      </x:c>
      <x:c r="X18" s="22" t="n">
        <x:f>IF('Setup'!$B$22&gt;0,"",I18*('Processes'!F6+V18*'Processes'!H6)*'Processes'!C6*'Setup'!D17/'Processes'!B6)</x:f>
        <x:v>340.40000000000003</x:v>
      </x:c>
      <x:c r="Y18" s="22" t="n">
        <x:f>IF('Setup'!$B$22&gt;0,"",H18*F18)</x:f>
        <x:v>3.2</x:v>
      </x:c>
      <x:c r="Z18" s="25" t="n">
        <x:f>IF('Setup'!$B$22&gt;0,"",O18+P18)</x:f>
        <x:v>5873.28</x:v>
      </x:c>
      <x:c r="AA18" s="25" t="n">
        <x:f>IF('Setup'!$B$22&gt;0,"",'Processes'!D6*I18*'Processes'!E6*'Processes'!J6)</x:f>
        <x:v>4239.360000000001</x:v>
      </x:c>
    </x:row>
    <x:row r="19" ht="23" customHeight="1">
      <x:c r="A19" s="1" t="str">
        <x:v>Base</x:v>
      </x:c>
      <x:c r="B19" s="1" t="n">
        <x:v>5</x:v>
      </x:c>
      <x:c r="C19" s="1" t="str">
        <x:f>'Processes'!A7</x:f>
        <x:v>Pack</x:v>
      </x:c>
      <x:c r="D19" s="22" t="n">
        <x:f>IF('Setup'!$B$22&gt;0,"",'Staffing'!D10)</x:f>
        <x:v>18</x:v>
      </x:c>
      <x:c r="E19" s="22" t="n">
        <x:f>IF('Setup'!$B$22&gt;0,"",IF(B19&gt;='Processes'!N7,'Processes'!O7,0))</x:f>
        <x:v>4</x:v>
      </x:c>
      <x:c r="F19" s="23" t="n">
        <x:f>IF('Setup'!$B$22&gt;0,"",IF(E19=0,0,INDEX('Setup'!$B$9:$B$13,MIN(5,B19-'Processes'!N7+1))))</x:f>
        <x:v>0.8</x:v>
      </x:c>
      <x:c r="G19" s="22" t="n">
        <x:f>IF('Setup'!$B$22&gt;0,"",MIN(D19,'Processes'!M7))</x:f>
        <x:v>18</x:v>
      </x:c>
      <x:c r="H19" s="22" t="n">
        <x:f>IF('Setup'!$B$22&gt;0,"",MIN(E19,MAX(0,'Processes'!M7-G19)))</x:f>
        <x:v>4</x:v>
      </x:c>
      <x:c r="I19" s="23" t="n">
        <x:f>IF('Setup'!$B$22&gt;0,"",1-'Processes'!G7-'Setup'!C17)</x:f>
        <x:v>0.92</x:v>
      </x:c>
      <x:c r="J19" s="22" t="n">
        <x:f>IF('Setup'!$B$22&gt;0,"",(G19+H19*F19)*I19*'Processes'!F7)</x:f>
        <x:v>126.77600000000001</x:v>
      </x:c>
      <x:c r="K19" s="22" t="n">
        <x:f>IF('Setup'!$B$22&gt;0,"",(G19+H19*F19)*I19*V19*'Processes'!H7)</x:f>
        <x:v>17.553600000000003</x:v>
      </x:c>
      <x:c r="L19" s="22" t="n">
        <x:f>IF('Setup'!$B$22&gt;0,"",(J19+K19)*'Processes'!C7*'Setup'!D17/'Processes'!B7)</x:f>
        <x:v>8659.776000000002</x:v>
      </x:c>
      <x:c r="M19" s="22" t="n">
        <x:f>IF('Setup'!$B$22&gt;0,"",'Processes'!L7*'Setup'!E17)</x:f>
        <x:v>9000</x:v>
      </x:c>
      <x:c r="N19" s="24" t="n">
        <x:f>IF('Setup'!$B$22&gt;0,"",INT(MIN(L19,M19)))</x:f>
        <x:v>8659</x:v>
      </x:c>
      <x:c r="O19" s="25" t="n">
        <x:f>IF('Setup'!$B$22&gt;0,"",(D19+E19)*I19*'Processes'!E7*'Processes'!J7)</x:f>
        <x:v>3886.0800000000004</x:v>
      </x:c>
      <x:c r="P19" s="25" t="n">
        <x:f>IF('Setup'!$B$22&gt;0,"",(D19+E19)*I19*V19*'Processes'!J7*'Processes'!K7)</x:f>
        <x:v>728.6400000000001</x:v>
      </x:c>
      <x:c r="Q19" s="25" t="n">
        <x:f>IF('Setup'!$B$22&gt;0,"",Z19-AA19)</x:f>
        <x:v>1435.1999999999998</x:v>
      </x:c>
      <x:c r="R19" s="22" t="n">
        <x:f>IF('Setup'!$B$22&gt;0,"",D19+E19)</x:f>
        <x:v>22</x:v>
      </x:c>
      <x:c r="S19" s="22" t="n">
        <x:f>IF('Setup'!$B$22&gt;0,"",'Processes'!M7)</x:f>
        <x:v>26</x:v>
      </x:c>
      <x:c r="T19" s="22" t="n">
        <x:f>IF('Setup'!$B$22&gt;0,"",MAX(0,R19-S19))</x:f>
        <x:v>0</x:v>
      </x:c>
      <x:c r="U19" s="22" t="n">
        <x:f>IF('Setup'!$B$22&gt;0,"",'Staffing'!G10)</x:f>
        <x:v>1</x:v>
      </x:c>
      <x:c r="V19" s="22" t="n">
        <x:f>IF('Setup'!$B$22&gt;0,"",MIN(U19,'Processes'!I7))</x:f>
        <x:v>1</x:v>
      </x:c>
      <x:c r="W19" s="22" t="n">
        <x:f>IF('Setup'!$B$22&gt;0,"",MAX(0,U19-V19))</x:f>
        <x:v>0</x:v>
      </x:c>
      <x:c r="X19" s="22" t="n">
        <x:f>IF('Setup'!$B$22&gt;0,"",I19*('Processes'!F7+V19*'Processes'!H7)*'Processes'!C7*'Setup'!D17/'Processes'!B7)</x:f>
        <x:v>408.48</x:v>
      </x:c>
      <x:c r="Y19" s="22" t="n">
        <x:f>IF('Setup'!$B$22&gt;0,"",H19*F19)</x:f>
        <x:v>3.2</x:v>
      </x:c>
      <x:c r="Z19" s="25" t="n">
        <x:f>IF('Setup'!$B$22&gt;0,"",O19+P19)</x:f>
        <x:v>4614.72</x:v>
      </x:c>
      <x:c r="AA19" s="25" t="n">
        <x:f>IF('Setup'!$B$22&gt;0,"",'Processes'!D7*I19*'Processes'!E7*'Processes'!J7)</x:f>
        <x:v>3179.5200000000004</x:v>
      </x:c>
    </x:row>
    <x:row r="20" ht="23" customHeight="1">
      <x:c r="A20" s="1" t="str">
        <x:v>Base</x:v>
      </x:c>
      <x:c r="B20" s="1" t="n">
        <x:v>5</x:v>
      </x:c>
      <x:c r="C20" s="1" t="str">
        <x:f>'Processes'!A8</x:f>
        <x:v>Ship</x:v>
      </x:c>
      <x:c r="D20" s="22" t="n">
        <x:f>IF('Setup'!$B$22&gt;0,"",'Staffing'!E10)</x:f>
        <x:v>10</x:v>
      </x:c>
      <x:c r="E20" s="22" t="n">
        <x:f>IF('Setup'!$B$22&gt;0,"",IF(B20&gt;='Processes'!N8,'Processes'!O8,0))</x:f>
        <x:v>3</x:v>
      </x:c>
      <x:c r="F20" s="23" t="n">
        <x:f>IF('Setup'!$B$22&gt;0,"",IF(E20=0,0,INDEX('Setup'!$B$9:$B$13,MIN(5,B20-'Processes'!N8+1))))</x:f>
        <x:v>0.8</x:v>
      </x:c>
      <x:c r="G20" s="22" t="n">
        <x:f>IF('Setup'!$B$22&gt;0,"",MIN(D20,'Processes'!M8))</x:f>
        <x:v>10</x:v>
      </x:c>
      <x:c r="H20" s="22" t="n">
        <x:f>IF('Setup'!$B$22&gt;0,"",MIN(E20,MAX(0,'Processes'!M8-G20)))</x:f>
        <x:v>3</x:v>
      </x:c>
      <x:c r="I20" s="23" t="n">
        <x:f>IF('Setup'!$B$22&gt;0,"",1-'Processes'!G8-'Setup'!C17)</x:f>
        <x:v>0.92</x:v>
      </x:c>
      <x:c r="J20" s="22" t="n">
        <x:f>IF('Setup'!$B$22&gt;0,"",(G20+H20*F20)*I20*'Processes'!F8)</x:f>
        <x:v>74.15200000000002</x:v>
      </x:c>
      <x:c r="K20" s="22" t="n">
        <x:f>IF('Setup'!$B$22&gt;0,"",(G20+H20*F20)*I20*V20*'Processes'!H8)</x:f>
        <x:v>10.2672</x:v>
      </x:c>
      <x:c r="L20" s="22" t="n">
        <x:f>IF('Setup'!$B$22&gt;0,"",(J20+K20)*'Processes'!C8*'Setup'!D17/'Processes'!B8)</x:f>
        <x:v>8441.920000000002</x:v>
      </x:c>
      <x:c r="M20" s="22" t="n">
        <x:f>IF('Setup'!$B$22&gt;0,"",'Processes'!L8*'Setup'!E17)</x:f>
        <x:v>8000</x:v>
      </x:c>
      <x:c r="N20" s="24" t="n">
        <x:f>IF('Setup'!$B$22&gt;0,"",INT(MIN(L20,M20)))</x:f>
        <x:v>8000</x:v>
      </x:c>
      <x:c r="O20" s="25" t="n">
        <x:f>IF('Setup'!$B$22&gt;0,"",(D20+E20)*I20*'Processes'!E8*'Processes'!J8)</x:f>
        <x:v>2487.6800000000003</x:v>
      </x:c>
      <x:c r="P20" s="25" t="n">
        <x:f>IF('Setup'!$B$22&gt;0,"",(D20+E20)*I20*V20*'Processes'!J8*'Processes'!K8)</x:f>
        <x:v>466.44000000000005</x:v>
      </x:c>
      <x:c r="Q20" s="25" t="n">
        <x:f>IF('Setup'!$B$22&gt;0,"",Z20-AA20)</x:f>
        <x:v>1040.5200000000002</x:v>
      </x:c>
      <x:c r="R20" s="22" t="n">
        <x:f>IF('Setup'!$B$22&gt;0,"",D20+E20)</x:f>
        <x:v>13</x:v>
      </x:c>
      <x:c r="S20" s="22" t="n">
        <x:f>IF('Setup'!$B$22&gt;0,"",'Processes'!M8)</x:f>
        <x:v>16</x:v>
      </x:c>
      <x:c r="T20" s="22" t="n">
        <x:f>IF('Setup'!$B$22&gt;0,"",MAX(0,R20-S20))</x:f>
        <x:v>0</x:v>
      </x:c>
      <x:c r="U20" s="22" t="n">
        <x:f>IF('Setup'!$B$22&gt;0,"",'Staffing'!H10)</x:f>
        <x:v>1</x:v>
      </x:c>
      <x:c r="V20" s="22" t="n">
        <x:f>IF('Setup'!$B$22&gt;0,"",MIN(U20,'Processes'!I8))</x:f>
        <x:v>1</x:v>
      </x:c>
      <x:c r="W20" s="22" t="n">
        <x:f>IF('Setup'!$B$22&gt;0,"",MAX(0,U20-V20))</x:f>
        <x:v>0</x:v>
      </x:c>
      <x:c r="X20" s="22" t="n">
        <x:f>IF('Setup'!$B$22&gt;0,"",I20*('Processes'!F8+V20*'Processes'!H8)*'Processes'!C8*'Setup'!D17/'Processes'!B8)</x:f>
        <x:v>680.8000000000001</x:v>
      </x:c>
      <x:c r="Y20" s="22" t="n">
        <x:f>IF('Setup'!$B$22&gt;0,"",H20*F20)</x:f>
        <x:v>2.4000000000000004</x:v>
      </x:c>
      <x:c r="Z20" s="25" t="n">
        <x:f>IF('Setup'!$B$22&gt;0,"",O20+P20)</x:f>
        <x:v>2954.1200000000003</x:v>
      </x:c>
      <x:c r="AA20" s="25" t="n">
        <x:f>IF('Setup'!$B$22&gt;0,"",'Processes'!D8*I20*'Processes'!E8*'Processes'!J8)</x:f>
        <x:v>1913.6000000000001</x:v>
      </x:c>
    </x:row>
    <x:row r="21" ht="23" customHeight="1">
      <x:c r="A21" s="1" t="str">
        <x:v>Base</x:v>
      </x:c>
      <x:c r="B21" s="1" t="n">
        <x:v>6</x:v>
      </x:c>
      <x:c r="C21" s="1" t="str">
        <x:f>'Processes'!A6</x:f>
        <x:v>Pick</x:v>
      </x:c>
      <x:c r="D21" s="22" t="n">
        <x:f>IF('Setup'!$B$22&gt;0,"",'Staffing'!C11)</x:f>
        <x:v>24</x:v>
      </x:c>
      <x:c r="E21" s="22" t="n">
        <x:f>IF('Setup'!$B$22&gt;0,"",IF(B21&gt;='Processes'!N6,'Processes'!O6,0))</x:f>
        <x:v>4</x:v>
      </x:c>
      <x:c r="F21" s="23" t="n">
        <x:f>IF('Setup'!$B$22&gt;0,"",IF(E21=0,0,INDEX('Setup'!$B$9:$B$13,MIN(5,B21-'Processes'!N6+1))))</x:f>
        <x:v>0.9</x:v>
      </x:c>
      <x:c r="G21" s="22" t="n">
        <x:f>IF('Setup'!$B$22&gt;0,"",MIN(D21,'Processes'!M6))</x:f>
        <x:v>24</x:v>
      </x:c>
      <x:c r="H21" s="22" t="n">
        <x:f>IF('Setup'!$B$22&gt;0,"",MIN(E21,MAX(0,'Processes'!M6-G21)))</x:f>
        <x:v>4</x:v>
      </x:c>
      <x:c r="I21" s="23" t="n">
        <x:f>IF('Setup'!$B$22&gt;0,"",1-'Processes'!G6-'Setup'!C17)</x:f>
        <x:v>0.92</x:v>
      </x:c>
      <x:c r="J21" s="22" t="n">
        <x:f>IF('Setup'!$B$22&gt;0,"",(G21+H21*F21)*I21*'Processes'!F6)</x:f>
        <x:v>165.04800000000003</x:v>
      </x:c>
      <x:c r="K21" s="22" t="n">
        <x:f>IF('Setup'!$B$22&gt;0,"",(G21+H21*F21)*I21*V21*'Processes'!H6)</x:f>
        <x:v>22.852800000000002</x:v>
      </x:c>
      <x:c r="L21" s="22" t="n">
        <x:f>IF('Setup'!$B$22&gt;0,"",(J21+K21)*'Processes'!C6*'Setup'!D17/'Processes'!B6)</x:f>
        <x:v>9395.04</x:v>
      </x:c>
      <x:c r="M21" s="22" t="n">
        <x:f>IF('Setup'!$B$22&gt;0,"",'Processes'!L6*'Setup'!E17)</x:f>
        <x:v>10000</x:v>
      </x:c>
      <x:c r="N21" s="24" t="n">
        <x:f>IF('Setup'!$B$22&gt;0,"",INT(MIN(L21,M21)))</x:f>
        <x:v>9395</x:v>
      </x:c>
      <x:c r="O21" s="25" t="n">
        <x:f>IF('Setup'!$B$22&gt;0,"",(D21+E21)*I21*'Processes'!E6*'Processes'!J6)</x:f>
        <x:v>4945.92</x:v>
      </x:c>
      <x:c r="P21" s="25" t="n">
        <x:f>IF('Setup'!$B$22&gt;0,"",(D21+E21)*I21*V21*'Processes'!J6*'Processes'!K6)</x:f>
        <x:v>927.36</x:v>
      </x:c>
      <x:c r="Q21" s="25" t="n">
        <x:f>IF('Setup'!$B$22&gt;0,"",Z21-AA21)</x:f>
        <x:v>1633.9199999999992</x:v>
      </x:c>
      <x:c r="R21" s="22" t="n">
        <x:f>IF('Setup'!$B$22&gt;0,"",D21+E21)</x:f>
        <x:v>28</x:v>
      </x:c>
      <x:c r="S21" s="22" t="n">
        <x:f>IF('Setup'!$B$22&gt;0,"",'Processes'!M6)</x:f>
        <x:v>32</x:v>
      </x:c>
      <x:c r="T21" s="22" t="n">
        <x:f>IF('Setup'!$B$22&gt;0,"",MAX(0,R21-S21))</x:f>
        <x:v>0</x:v>
      </x:c>
      <x:c r="U21" s="22" t="n">
        <x:f>IF('Setup'!$B$22&gt;0,"",'Staffing'!F11)</x:f>
        <x:v>1</x:v>
      </x:c>
      <x:c r="V21" s="22" t="n">
        <x:f>IF('Setup'!$B$22&gt;0,"",MIN(U21,'Processes'!I6))</x:f>
        <x:v>1</x:v>
      </x:c>
      <x:c r="W21" s="22" t="n">
        <x:f>IF('Setup'!$B$22&gt;0,"",MAX(0,U21-V21))</x:f>
        <x:v>0</x:v>
      </x:c>
      <x:c r="X21" s="22" t="n">
        <x:f>IF('Setup'!$B$22&gt;0,"",I21*('Processes'!F6+V21*'Processes'!H6)*'Processes'!C6*'Setup'!D17/'Processes'!B6)</x:f>
        <x:v>340.40000000000003</x:v>
      </x:c>
      <x:c r="Y21" s="22" t="n">
        <x:f>IF('Setup'!$B$22&gt;0,"",H21*F21)</x:f>
        <x:v>3.6</x:v>
      </x:c>
      <x:c r="Z21" s="25" t="n">
        <x:f>IF('Setup'!$B$22&gt;0,"",O21+P21)</x:f>
        <x:v>5873.28</x:v>
      </x:c>
      <x:c r="AA21" s="25" t="n">
        <x:f>IF('Setup'!$B$22&gt;0,"",'Processes'!D6*I21*'Processes'!E6*'Processes'!J6)</x:f>
        <x:v>4239.360000000001</x:v>
      </x:c>
    </x:row>
    <x:row r="22" ht="23" customHeight="1">
      <x:c r="A22" s="1" t="str">
        <x:v>Base</x:v>
      </x:c>
      <x:c r="B22" s="1" t="n">
        <x:v>6</x:v>
      </x:c>
      <x:c r="C22" s="1" t="str">
        <x:f>'Processes'!A7</x:f>
        <x:v>Pack</x:v>
      </x:c>
      <x:c r="D22" s="22" t="n">
        <x:f>IF('Setup'!$B$22&gt;0,"",'Staffing'!D11)</x:f>
        <x:v>18</x:v>
      </x:c>
      <x:c r="E22" s="22" t="n">
        <x:f>IF('Setup'!$B$22&gt;0,"",IF(B22&gt;='Processes'!N7,'Processes'!O7,0))</x:f>
        <x:v>4</x:v>
      </x:c>
      <x:c r="F22" s="23" t="n">
        <x:f>IF('Setup'!$B$22&gt;0,"",IF(E22=0,0,INDEX('Setup'!$B$9:$B$13,MIN(5,B22-'Processes'!N7+1))))</x:f>
        <x:v>0.9</x:v>
      </x:c>
      <x:c r="G22" s="22" t="n">
        <x:f>IF('Setup'!$B$22&gt;0,"",MIN(D22,'Processes'!M7))</x:f>
        <x:v>18</x:v>
      </x:c>
      <x:c r="H22" s="22" t="n">
        <x:f>IF('Setup'!$B$22&gt;0,"",MIN(E22,MAX(0,'Processes'!M7-G22)))</x:f>
        <x:v>4</x:v>
      </x:c>
      <x:c r="I22" s="23" t="n">
        <x:f>IF('Setup'!$B$22&gt;0,"",1-'Processes'!G7-'Setup'!C17)</x:f>
        <x:v>0.92</x:v>
      </x:c>
      <x:c r="J22" s="22" t="n">
        <x:f>IF('Setup'!$B$22&gt;0,"",(G22+H22*F22)*I22*'Processes'!F7)</x:f>
        <x:v>129.16800000000003</x:v>
      </x:c>
      <x:c r="K22" s="22" t="n">
        <x:f>IF('Setup'!$B$22&gt;0,"",(G22+H22*F22)*I22*V22*'Processes'!H7)</x:f>
        <x:v>17.884800000000002</x:v>
      </x:c>
      <x:c r="L22" s="22" t="n">
        <x:f>IF('Setup'!$B$22&gt;0,"",(J22+K22)*'Processes'!C7*'Setup'!D17/'Processes'!B7)</x:f>
        <x:v>8823.168000000003</x:v>
      </x:c>
      <x:c r="M22" s="22" t="n">
        <x:f>IF('Setup'!$B$22&gt;0,"",'Processes'!L7*'Setup'!E17)</x:f>
        <x:v>9000</x:v>
      </x:c>
      <x:c r="N22" s="24" t="n">
        <x:f>IF('Setup'!$B$22&gt;0,"",INT(MIN(L22,M22)))</x:f>
        <x:v>8823</x:v>
      </x:c>
      <x:c r="O22" s="25" t="n">
        <x:f>IF('Setup'!$B$22&gt;0,"",(D22+E22)*I22*'Processes'!E7*'Processes'!J7)</x:f>
        <x:v>3886.0800000000004</x:v>
      </x:c>
      <x:c r="P22" s="25" t="n">
        <x:f>IF('Setup'!$B$22&gt;0,"",(D22+E22)*I22*V22*'Processes'!J7*'Processes'!K7)</x:f>
        <x:v>728.6400000000001</x:v>
      </x:c>
      <x:c r="Q22" s="25" t="n">
        <x:f>IF('Setup'!$B$22&gt;0,"",Z22-AA22)</x:f>
        <x:v>1435.1999999999998</x:v>
      </x:c>
      <x:c r="R22" s="22" t="n">
        <x:f>IF('Setup'!$B$22&gt;0,"",D22+E22)</x:f>
        <x:v>22</x:v>
      </x:c>
      <x:c r="S22" s="22" t="n">
        <x:f>IF('Setup'!$B$22&gt;0,"",'Processes'!M7)</x:f>
        <x:v>26</x:v>
      </x:c>
      <x:c r="T22" s="22" t="n">
        <x:f>IF('Setup'!$B$22&gt;0,"",MAX(0,R22-S22))</x:f>
        <x:v>0</x:v>
      </x:c>
      <x:c r="U22" s="22" t="n">
        <x:f>IF('Setup'!$B$22&gt;0,"",'Staffing'!G11)</x:f>
        <x:v>1</x:v>
      </x:c>
      <x:c r="V22" s="22" t="n">
        <x:f>IF('Setup'!$B$22&gt;0,"",MIN(U22,'Processes'!I7))</x:f>
        <x:v>1</x:v>
      </x:c>
      <x:c r="W22" s="22" t="n">
        <x:f>IF('Setup'!$B$22&gt;0,"",MAX(0,U22-V22))</x:f>
        <x:v>0</x:v>
      </x:c>
      <x:c r="X22" s="22" t="n">
        <x:f>IF('Setup'!$B$22&gt;0,"",I22*('Processes'!F7+V22*'Processes'!H7)*'Processes'!C7*'Setup'!D17/'Processes'!B7)</x:f>
        <x:v>408.48</x:v>
      </x:c>
      <x:c r="Y22" s="22" t="n">
        <x:f>IF('Setup'!$B$22&gt;0,"",H22*F22)</x:f>
        <x:v>3.6</x:v>
      </x:c>
      <x:c r="Z22" s="25" t="n">
        <x:f>IF('Setup'!$B$22&gt;0,"",O22+P22)</x:f>
        <x:v>4614.72</x:v>
      </x:c>
      <x:c r="AA22" s="25" t="n">
        <x:f>IF('Setup'!$B$22&gt;0,"",'Processes'!D7*I22*'Processes'!E7*'Processes'!J7)</x:f>
        <x:v>3179.5200000000004</x:v>
      </x:c>
    </x:row>
    <x:row r="23" ht="23" customHeight="1">
      <x:c r="A23" s="1" t="str">
        <x:v>Base</x:v>
      </x:c>
      <x:c r="B23" s="1" t="n">
        <x:v>6</x:v>
      </x:c>
      <x:c r="C23" s="1" t="str">
        <x:f>'Processes'!A8</x:f>
        <x:v>Ship</x:v>
      </x:c>
      <x:c r="D23" s="22" t="n">
        <x:f>IF('Setup'!$B$22&gt;0,"",'Staffing'!E11)</x:f>
        <x:v>10</x:v>
      </x:c>
      <x:c r="E23" s="22" t="n">
        <x:f>IF('Setup'!$B$22&gt;0,"",IF(B23&gt;='Processes'!N8,'Processes'!O8,0))</x:f>
        <x:v>3</x:v>
      </x:c>
      <x:c r="F23" s="23" t="n">
        <x:f>IF('Setup'!$B$22&gt;0,"",IF(E23=0,0,INDEX('Setup'!$B$9:$B$13,MIN(5,B23-'Processes'!N8+1))))</x:f>
        <x:v>0.9</x:v>
      </x:c>
      <x:c r="G23" s="22" t="n">
        <x:f>IF('Setup'!$B$22&gt;0,"",MIN(D23,'Processes'!M8))</x:f>
        <x:v>10</x:v>
      </x:c>
      <x:c r="H23" s="22" t="n">
        <x:f>IF('Setup'!$B$22&gt;0,"",MIN(E23,MAX(0,'Processes'!M8-G23)))</x:f>
        <x:v>3</x:v>
      </x:c>
      <x:c r="I23" s="23" t="n">
        <x:f>IF('Setup'!$B$22&gt;0,"",1-'Processes'!G8-'Setup'!C17)</x:f>
        <x:v>0.92</x:v>
      </x:c>
      <x:c r="J23" s="22" t="n">
        <x:f>IF('Setup'!$B$22&gt;0,"",(G23+H23*F23)*I23*'Processes'!F8)</x:f>
        <x:v>75.946</x:v>
      </x:c>
      <x:c r="K23" s="22" t="n">
        <x:f>IF('Setup'!$B$22&gt;0,"",(G23+H23*F23)*I23*V23*'Processes'!H8)</x:f>
        <x:v>10.5156</x:v>
      </x:c>
      <x:c r="L23" s="22" t="n">
        <x:f>IF('Setup'!$B$22&gt;0,"",(J23+K23)*'Processes'!C8*'Setup'!D17/'Processes'!B8)</x:f>
        <x:v>8646.16</x:v>
      </x:c>
      <x:c r="M23" s="22" t="n">
        <x:f>IF('Setup'!$B$22&gt;0,"",'Processes'!L8*'Setup'!E17)</x:f>
        <x:v>8000</x:v>
      </x:c>
      <x:c r="N23" s="24" t="n">
        <x:f>IF('Setup'!$B$22&gt;0,"",INT(MIN(L23,M23)))</x:f>
        <x:v>8000</x:v>
      </x:c>
      <x:c r="O23" s="25" t="n">
        <x:f>IF('Setup'!$B$22&gt;0,"",(D23+E23)*I23*'Processes'!E8*'Processes'!J8)</x:f>
        <x:v>2487.6800000000003</x:v>
      </x:c>
      <x:c r="P23" s="25" t="n">
        <x:f>IF('Setup'!$B$22&gt;0,"",(D23+E23)*I23*V23*'Processes'!J8*'Processes'!K8)</x:f>
        <x:v>466.44000000000005</x:v>
      </x:c>
      <x:c r="Q23" s="25" t="n">
        <x:f>IF('Setup'!$B$22&gt;0,"",Z23-AA23)</x:f>
        <x:v>1040.5200000000002</x:v>
      </x:c>
      <x:c r="R23" s="22" t="n">
        <x:f>IF('Setup'!$B$22&gt;0,"",D23+E23)</x:f>
        <x:v>13</x:v>
      </x:c>
      <x:c r="S23" s="22" t="n">
        <x:f>IF('Setup'!$B$22&gt;0,"",'Processes'!M8)</x:f>
        <x:v>16</x:v>
      </x:c>
      <x:c r="T23" s="22" t="n">
        <x:f>IF('Setup'!$B$22&gt;0,"",MAX(0,R23-S23))</x:f>
        <x:v>0</x:v>
      </x:c>
      <x:c r="U23" s="22" t="n">
        <x:f>IF('Setup'!$B$22&gt;0,"",'Staffing'!H11)</x:f>
        <x:v>1</x:v>
      </x:c>
      <x:c r="V23" s="22" t="n">
        <x:f>IF('Setup'!$B$22&gt;0,"",MIN(U23,'Processes'!I8))</x:f>
        <x:v>1</x:v>
      </x:c>
      <x:c r="W23" s="22" t="n">
        <x:f>IF('Setup'!$B$22&gt;0,"",MAX(0,U23-V23))</x:f>
        <x:v>0</x:v>
      </x:c>
      <x:c r="X23" s="22" t="n">
        <x:f>IF('Setup'!$B$22&gt;0,"",I23*('Processes'!F8+V23*'Processes'!H8)*'Processes'!C8*'Setup'!D17/'Processes'!B8)</x:f>
        <x:v>680.8000000000001</x:v>
      </x:c>
      <x:c r="Y23" s="22" t="n">
        <x:f>IF('Setup'!$B$22&gt;0,"",H23*F23)</x:f>
        <x:v>2.7</x:v>
      </x:c>
      <x:c r="Z23" s="25" t="n">
        <x:f>IF('Setup'!$B$22&gt;0,"",O23+P23)</x:f>
        <x:v>2954.1200000000003</x:v>
      </x:c>
      <x:c r="AA23" s="25" t="n">
        <x:f>IF('Setup'!$B$22&gt;0,"",'Processes'!D8*I23*'Processes'!E8*'Processes'!J8)</x:f>
        <x:v>1913.6000000000001</x:v>
      </x:c>
    </x:row>
    <x:row r="24" ht="23" customHeight="1">
      <x:c r="A24" s="1" t="str">
        <x:v>Base</x:v>
      </x:c>
      <x:c r="B24" s="1" t="n">
        <x:v>7</x:v>
      </x:c>
      <x:c r="C24" s="1" t="str">
        <x:f>'Processes'!A6</x:f>
        <x:v>Pick</x:v>
      </x:c>
      <x:c r="D24" s="22" t="n">
        <x:f>IF('Setup'!$B$22&gt;0,"",'Staffing'!C12)</x:f>
        <x:v>24</x:v>
      </x:c>
      <x:c r="E24" s="22" t="n">
        <x:f>IF('Setup'!$B$22&gt;0,"",IF(B24&gt;='Processes'!N6,'Processes'!O6,0))</x:f>
        <x:v>4</x:v>
      </x:c>
      <x:c r="F24" s="23" t="n">
        <x:f>IF('Setup'!$B$22&gt;0,"",IF(E24=0,0,INDEX('Setup'!$B$9:$B$13,MIN(5,B24-'Processes'!N6+1))))</x:f>
        <x:v>1</x:v>
      </x:c>
      <x:c r="G24" s="22" t="n">
        <x:f>IF('Setup'!$B$22&gt;0,"",MIN(D24,'Processes'!M6))</x:f>
        <x:v>24</x:v>
      </x:c>
      <x:c r="H24" s="22" t="n">
        <x:f>IF('Setup'!$B$22&gt;0,"",MIN(E24,MAX(0,'Processes'!M6-G24)))</x:f>
        <x:v>4</x:v>
      </x:c>
      <x:c r="I24" s="23" t="n">
        <x:f>IF('Setup'!$B$22&gt;0,"",1-'Processes'!G6-'Setup'!C17)</x:f>
        <x:v>0.92</x:v>
      </x:c>
      <x:c r="J24" s="22" t="n">
        <x:f>IF('Setup'!$B$22&gt;0,"",(G24+H24*F24)*I24*'Processes'!F6)</x:f>
        <x:v>167.44</x:v>
      </x:c>
      <x:c r="K24" s="22" t="n">
        <x:f>IF('Setup'!$B$22&gt;0,"",(G24+H24*F24)*I24*V24*'Processes'!H6)</x:f>
        <x:v>23.184</x:v>
      </x:c>
      <x:c r="L24" s="22" t="n">
        <x:f>IF('Setup'!$B$22&gt;0,"",(J24+K24)*'Processes'!C6*'Setup'!D17/'Processes'!B6)</x:f>
        <x:v>9531.199999999999</x:v>
      </x:c>
      <x:c r="M24" s="22" t="n">
        <x:f>IF('Setup'!$B$22&gt;0,"",'Processes'!L6*'Setup'!E17)</x:f>
        <x:v>10000</x:v>
      </x:c>
      <x:c r="N24" s="24" t="n">
        <x:f>IF('Setup'!$B$22&gt;0,"",INT(MIN(L24,M24)))</x:f>
        <x:v>9531</x:v>
      </x:c>
      <x:c r="O24" s="25" t="n">
        <x:f>IF('Setup'!$B$22&gt;0,"",(D24+E24)*I24*'Processes'!E6*'Processes'!J6)</x:f>
        <x:v>4945.92</x:v>
      </x:c>
      <x:c r="P24" s="25" t="n">
        <x:f>IF('Setup'!$B$22&gt;0,"",(D24+E24)*I24*V24*'Processes'!J6*'Processes'!K6)</x:f>
        <x:v>927.36</x:v>
      </x:c>
      <x:c r="Q24" s="25" t="n">
        <x:f>IF('Setup'!$B$22&gt;0,"",Z24-AA24)</x:f>
        <x:v>1633.9199999999992</x:v>
      </x:c>
      <x:c r="R24" s="22" t="n">
        <x:f>IF('Setup'!$B$22&gt;0,"",D24+E24)</x:f>
        <x:v>28</x:v>
      </x:c>
      <x:c r="S24" s="22" t="n">
        <x:f>IF('Setup'!$B$22&gt;0,"",'Processes'!M6)</x:f>
        <x:v>32</x:v>
      </x:c>
      <x:c r="T24" s="22" t="n">
        <x:f>IF('Setup'!$B$22&gt;0,"",MAX(0,R24-S24))</x:f>
        <x:v>0</x:v>
      </x:c>
      <x:c r="U24" s="22" t="n">
        <x:f>IF('Setup'!$B$22&gt;0,"",'Staffing'!F12)</x:f>
        <x:v>1</x:v>
      </x:c>
      <x:c r="V24" s="22" t="n">
        <x:f>IF('Setup'!$B$22&gt;0,"",MIN(U24,'Processes'!I6))</x:f>
        <x:v>1</x:v>
      </x:c>
      <x:c r="W24" s="22" t="n">
        <x:f>IF('Setup'!$B$22&gt;0,"",MAX(0,U24-V24))</x:f>
        <x:v>0</x:v>
      </x:c>
      <x:c r="X24" s="22" t="n">
        <x:f>IF('Setup'!$B$22&gt;0,"",I24*('Processes'!F6+V24*'Processes'!H6)*'Processes'!C6*'Setup'!D17/'Processes'!B6)</x:f>
        <x:v>340.40000000000003</x:v>
      </x:c>
      <x:c r="Y24" s="22" t="n">
        <x:f>IF('Setup'!$B$22&gt;0,"",H24*F24)</x:f>
        <x:v>4</x:v>
      </x:c>
      <x:c r="Z24" s="25" t="n">
        <x:f>IF('Setup'!$B$22&gt;0,"",O24+P24)</x:f>
        <x:v>5873.28</x:v>
      </x:c>
      <x:c r="AA24" s="25" t="n">
        <x:f>IF('Setup'!$B$22&gt;0,"",'Processes'!D6*I24*'Processes'!E6*'Processes'!J6)</x:f>
        <x:v>4239.360000000001</x:v>
      </x:c>
    </x:row>
    <x:row r="25" ht="23" customHeight="1">
      <x:c r="A25" s="1" t="str">
        <x:v>Base</x:v>
      </x:c>
      <x:c r="B25" s="1" t="n">
        <x:v>7</x:v>
      </x:c>
      <x:c r="C25" s="1" t="str">
        <x:f>'Processes'!A7</x:f>
        <x:v>Pack</x:v>
      </x:c>
      <x:c r="D25" s="22" t="n">
        <x:f>IF('Setup'!$B$22&gt;0,"",'Staffing'!D12)</x:f>
        <x:v>18</x:v>
      </x:c>
      <x:c r="E25" s="22" t="n">
        <x:f>IF('Setup'!$B$22&gt;0,"",IF(B25&gt;='Processes'!N7,'Processes'!O7,0))</x:f>
        <x:v>4</x:v>
      </x:c>
      <x:c r="F25" s="23" t="n">
        <x:f>IF('Setup'!$B$22&gt;0,"",IF(E25=0,0,INDEX('Setup'!$B$9:$B$13,MIN(5,B25-'Processes'!N7+1))))</x:f>
        <x:v>1</x:v>
      </x:c>
      <x:c r="G25" s="22" t="n">
        <x:f>IF('Setup'!$B$22&gt;0,"",MIN(D25,'Processes'!M7))</x:f>
        <x:v>18</x:v>
      </x:c>
      <x:c r="H25" s="22" t="n">
        <x:f>IF('Setup'!$B$22&gt;0,"",MIN(E25,MAX(0,'Processes'!M7-G25)))</x:f>
        <x:v>4</x:v>
      </x:c>
      <x:c r="I25" s="23" t="n">
        <x:f>IF('Setup'!$B$22&gt;0,"",1-'Processes'!G7-'Setup'!C17)</x:f>
        <x:v>0.92</x:v>
      </x:c>
      <x:c r="J25" s="22" t="n">
        <x:f>IF('Setup'!$B$22&gt;0,"",(G25+H25*F25)*I25*'Processes'!F7)</x:f>
        <x:v>131.56</x:v>
      </x:c>
      <x:c r="K25" s="22" t="n">
        <x:f>IF('Setup'!$B$22&gt;0,"",(G25+H25*F25)*I25*V25*'Processes'!H7)</x:f>
        <x:v>18.216</x:v>
      </x:c>
      <x:c r="L25" s="22" t="n">
        <x:f>IF('Setup'!$B$22&gt;0,"",(J25+K25)*'Processes'!C7*'Setup'!D17/'Processes'!B7)</x:f>
        <x:v>8986.560000000001</x:v>
      </x:c>
      <x:c r="M25" s="22" t="n">
        <x:f>IF('Setup'!$B$22&gt;0,"",'Processes'!L7*'Setup'!E17)</x:f>
        <x:v>9000</x:v>
      </x:c>
      <x:c r="N25" s="24" t="n">
        <x:f>IF('Setup'!$B$22&gt;0,"",INT(MIN(L25,M25)))</x:f>
        <x:v>8986</x:v>
      </x:c>
      <x:c r="O25" s="25" t="n">
        <x:f>IF('Setup'!$B$22&gt;0,"",(D25+E25)*I25*'Processes'!E7*'Processes'!J7)</x:f>
        <x:v>3886.0800000000004</x:v>
      </x:c>
      <x:c r="P25" s="25" t="n">
        <x:f>IF('Setup'!$B$22&gt;0,"",(D25+E25)*I25*V25*'Processes'!J7*'Processes'!K7)</x:f>
        <x:v>728.6400000000001</x:v>
      </x:c>
      <x:c r="Q25" s="25" t="n">
        <x:f>IF('Setup'!$B$22&gt;0,"",Z25-AA25)</x:f>
        <x:v>1435.1999999999998</x:v>
      </x:c>
      <x:c r="R25" s="22" t="n">
        <x:f>IF('Setup'!$B$22&gt;0,"",D25+E25)</x:f>
        <x:v>22</x:v>
      </x:c>
      <x:c r="S25" s="22" t="n">
        <x:f>IF('Setup'!$B$22&gt;0,"",'Processes'!M7)</x:f>
        <x:v>26</x:v>
      </x:c>
      <x:c r="T25" s="22" t="n">
        <x:f>IF('Setup'!$B$22&gt;0,"",MAX(0,R25-S25))</x:f>
        <x:v>0</x:v>
      </x:c>
      <x:c r="U25" s="22" t="n">
        <x:f>IF('Setup'!$B$22&gt;0,"",'Staffing'!G12)</x:f>
        <x:v>1</x:v>
      </x:c>
      <x:c r="V25" s="22" t="n">
        <x:f>IF('Setup'!$B$22&gt;0,"",MIN(U25,'Processes'!I7))</x:f>
        <x:v>1</x:v>
      </x:c>
      <x:c r="W25" s="22" t="n">
        <x:f>IF('Setup'!$B$22&gt;0,"",MAX(0,U25-V25))</x:f>
        <x:v>0</x:v>
      </x:c>
      <x:c r="X25" s="22" t="n">
        <x:f>IF('Setup'!$B$22&gt;0,"",I25*('Processes'!F7+V25*'Processes'!H7)*'Processes'!C7*'Setup'!D17/'Processes'!B7)</x:f>
        <x:v>408.48</x:v>
      </x:c>
      <x:c r="Y25" s="22" t="n">
        <x:f>IF('Setup'!$B$22&gt;0,"",H25*F25)</x:f>
        <x:v>4</x:v>
      </x:c>
      <x:c r="Z25" s="25" t="n">
        <x:f>IF('Setup'!$B$22&gt;0,"",O25+P25)</x:f>
        <x:v>4614.72</x:v>
      </x:c>
      <x:c r="AA25" s="25" t="n">
        <x:f>IF('Setup'!$B$22&gt;0,"",'Processes'!D7*I25*'Processes'!E7*'Processes'!J7)</x:f>
        <x:v>3179.5200000000004</x:v>
      </x:c>
    </x:row>
    <x:row r="26" ht="23" customHeight="1">
      <x:c r="A26" s="1" t="str">
        <x:v>Base</x:v>
      </x:c>
      <x:c r="B26" s="1" t="n">
        <x:v>7</x:v>
      </x:c>
      <x:c r="C26" s="1" t="str">
        <x:f>'Processes'!A8</x:f>
        <x:v>Ship</x:v>
      </x:c>
      <x:c r="D26" s="22" t="n">
        <x:f>IF('Setup'!$B$22&gt;0,"",'Staffing'!E12)</x:f>
        <x:v>10</x:v>
      </x:c>
      <x:c r="E26" s="22" t="n">
        <x:f>IF('Setup'!$B$22&gt;0,"",IF(B26&gt;='Processes'!N8,'Processes'!O8,0))</x:f>
        <x:v>3</x:v>
      </x:c>
      <x:c r="F26" s="23" t="n">
        <x:f>IF('Setup'!$B$22&gt;0,"",IF(E26=0,0,INDEX('Setup'!$B$9:$B$13,MIN(5,B26-'Processes'!N8+1))))</x:f>
        <x:v>1</x:v>
      </x:c>
      <x:c r="G26" s="22" t="n">
        <x:f>IF('Setup'!$B$22&gt;0,"",MIN(D26,'Processes'!M8))</x:f>
        <x:v>10</x:v>
      </x:c>
      <x:c r="H26" s="22" t="n">
        <x:f>IF('Setup'!$B$22&gt;0,"",MIN(E26,MAX(0,'Processes'!M8-G26)))</x:f>
        <x:v>3</x:v>
      </x:c>
      <x:c r="I26" s="23" t="n">
        <x:f>IF('Setup'!$B$22&gt;0,"",1-'Processes'!G8-'Setup'!C17)</x:f>
        <x:v>0.92</x:v>
      </x:c>
      <x:c r="J26" s="22" t="n">
        <x:f>IF('Setup'!$B$22&gt;0,"",(G26+H26*F26)*I26*'Processes'!F8)</x:f>
        <x:v>77.74000000000001</x:v>
      </x:c>
      <x:c r="K26" s="22" t="n">
        <x:f>IF('Setup'!$B$22&gt;0,"",(G26+H26*F26)*I26*V26*'Processes'!H8)</x:f>
        <x:v>10.764000000000001</x:v>
      </x:c>
      <x:c r="L26" s="22" t="n">
        <x:f>IF('Setup'!$B$22&gt;0,"",(J26+K26)*'Processes'!C8*'Setup'!D17/'Processes'!B8)</x:f>
        <x:v>8850.4</x:v>
      </x:c>
      <x:c r="M26" s="22" t="n">
        <x:f>IF('Setup'!$B$22&gt;0,"",'Processes'!L8*'Setup'!E17)</x:f>
        <x:v>8000</x:v>
      </x:c>
      <x:c r="N26" s="24" t="n">
        <x:f>IF('Setup'!$B$22&gt;0,"",INT(MIN(L26,M26)))</x:f>
        <x:v>8000</x:v>
      </x:c>
      <x:c r="O26" s="25" t="n">
        <x:f>IF('Setup'!$B$22&gt;0,"",(D26+E26)*I26*'Processes'!E8*'Processes'!J8)</x:f>
        <x:v>2487.6800000000003</x:v>
      </x:c>
      <x:c r="P26" s="25" t="n">
        <x:f>IF('Setup'!$B$22&gt;0,"",(D26+E26)*I26*V26*'Processes'!J8*'Processes'!K8)</x:f>
        <x:v>466.44000000000005</x:v>
      </x:c>
      <x:c r="Q26" s="25" t="n">
        <x:f>IF('Setup'!$B$22&gt;0,"",Z26-AA26)</x:f>
        <x:v>1040.5200000000002</x:v>
      </x:c>
      <x:c r="R26" s="22" t="n">
        <x:f>IF('Setup'!$B$22&gt;0,"",D26+E26)</x:f>
        <x:v>13</x:v>
      </x:c>
      <x:c r="S26" s="22" t="n">
        <x:f>IF('Setup'!$B$22&gt;0,"",'Processes'!M8)</x:f>
        <x:v>16</x:v>
      </x:c>
      <x:c r="T26" s="22" t="n">
        <x:f>IF('Setup'!$B$22&gt;0,"",MAX(0,R26-S26))</x:f>
        <x:v>0</x:v>
      </x:c>
      <x:c r="U26" s="22" t="n">
        <x:f>IF('Setup'!$B$22&gt;0,"",'Staffing'!H12)</x:f>
        <x:v>1</x:v>
      </x:c>
      <x:c r="V26" s="22" t="n">
        <x:f>IF('Setup'!$B$22&gt;0,"",MIN(U26,'Processes'!I8))</x:f>
        <x:v>1</x:v>
      </x:c>
      <x:c r="W26" s="22" t="n">
        <x:f>IF('Setup'!$B$22&gt;0,"",MAX(0,U26-V26))</x:f>
        <x:v>0</x:v>
      </x:c>
      <x:c r="X26" s="22" t="n">
        <x:f>IF('Setup'!$B$22&gt;0,"",I26*('Processes'!F8+V26*'Processes'!H8)*'Processes'!C8*'Setup'!D17/'Processes'!B8)</x:f>
        <x:v>680.8000000000001</x:v>
      </x:c>
      <x:c r="Y26" s="22" t="n">
        <x:f>IF('Setup'!$B$22&gt;0,"",H26*F26)</x:f>
        <x:v>3</x:v>
      </x:c>
      <x:c r="Z26" s="25" t="n">
        <x:f>IF('Setup'!$B$22&gt;0,"",O26+P26)</x:f>
        <x:v>2954.1200000000003</x:v>
      </x:c>
      <x:c r="AA26" s="25" t="n">
        <x:f>IF('Setup'!$B$22&gt;0,"",'Processes'!D8*I26*'Processes'!E8*'Processes'!J8)</x:f>
        <x:v>1913.6000000000001</x:v>
      </x:c>
    </x:row>
    <x:row r="27" ht="23" customHeight="1">
      <x:c r="A27" s="1" t="str">
        <x:v>Base</x:v>
      </x:c>
      <x:c r="B27" s="1" t="n">
        <x:v>8</x:v>
      </x:c>
      <x:c r="C27" s="1" t="str">
        <x:f>'Processes'!A6</x:f>
        <x:v>Pick</x:v>
      </x:c>
      <x:c r="D27" s="22" t="n">
        <x:f>IF('Setup'!$B$22&gt;0,"",'Staffing'!C13)</x:f>
        <x:v>24</x:v>
      </x:c>
      <x:c r="E27" s="22" t="n">
        <x:f>IF('Setup'!$B$22&gt;0,"",IF(B27&gt;='Processes'!N6,'Processes'!O6,0))</x:f>
        <x:v>4</x:v>
      </x:c>
      <x:c r="F27" s="23" t="n">
        <x:f>IF('Setup'!$B$22&gt;0,"",IF(E27=0,0,INDEX('Setup'!$B$9:$B$13,MIN(5,B27-'Processes'!N6+1))))</x:f>
        <x:v>1</x:v>
      </x:c>
      <x:c r="G27" s="22" t="n">
        <x:f>IF('Setup'!$B$22&gt;0,"",MIN(D27,'Processes'!M6))</x:f>
        <x:v>24</x:v>
      </x:c>
      <x:c r="H27" s="22" t="n">
        <x:f>IF('Setup'!$B$22&gt;0,"",MIN(E27,MAX(0,'Processes'!M6-G27)))</x:f>
        <x:v>4</x:v>
      </x:c>
      <x:c r="I27" s="23" t="n">
        <x:f>IF('Setup'!$B$22&gt;0,"",1-'Processes'!G6-'Setup'!C17)</x:f>
        <x:v>0.92</x:v>
      </x:c>
      <x:c r="J27" s="22" t="n">
        <x:f>IF('Setup'!$B$22&gt;0,"",(G27+H27*F27)*I27*'Processes'!F6)</x:f>
        <x:v>167.44</x:v>
      </x:c>
      <x:c r="K27" s="22" t="n">
        <x:f>IF('Setup'!$B$22&gt;0,"",(G27+H27*F27)*I27*V27*'Processes'!H6)</x:f>
        <x:v>23.184</x:v>
      </x:c>
      <x:c r="L27" s="22" t="n">
        <x:f>IF('Setup'!$B$22&gt;0,"",(J27+K27)*'Processes'!C6*'Setup'!D17/'Processes'!B6)</x:f>
        <x:v>9531.199999999999</x:v>
      </x:c>
      <x:c r="M27" s="22" t="n">
        <x:f>IF('Setup'!$B$22&gt;0,"",'Processes'!L6*'Setup'!E17)</x:f>
        <x:v>10000</x:v>
      </x:c>
      <x:c r="N27" s="24" t="n">
        <x:f>IF('Setup'!$B$22&gt;0,"",INT(MIN(L27,M27)))</x:f>
        <x:v>9531</x:v>
      </x:c>
      <x:c r="O27" s="25" t="n">
        <x:f>IF('Setup'!$B$22&gt;0,"",(D27+E27)*I27*'Processes'!E6*'Processes'!J6)</x:f>
        <x:v>4945.92</x:v>
      </x:c>
      <x:c r="P27" s="25" t="n">
        <x:f>IF('Setup'!$B$22&gt;0,"",(D27+E27)*I27*V27*'Processes'!J6*'Processes'!K6)</x:f>
        <x:v>927.36</x:v>
      </x:c>
      <x:c r="Q27" s="25" t="n">
        <x:f>IF('Setup'!$B$22&gt;0,"",Z27-AA27)</x:f>
        <x:v>1633.9199999999992</x:v>
      </x:c>
      <x:c r="R27" s="22" t="n">
        <x:f>IF('Setup'!$B$22&gt;0,"",D27+E27)</x:f>
        <x:v>28</x:v>
      </x:c>
      <x:c r="S27" s="22" t="n">
        <x:f>IF('Setup'!$B$22&gt;0,"",'Processes'!M6)</x:f>
        <x:v>32</x:v>
      </x:c>
      <x:c r="T27" s="22" t="n">
        <x:f>IF('Setup'!$B$22&gt;0,"",MAX(0,R27-S27))</x:f>
        <x:v>0</x:v>
      </x:c>
      <x:c r="U27" s="22" t="n">
        <x:f>IF('Setup'!$B$22&gt;0,"",'Staffing'!F13)</x:f>
        <x:v>1</x:v>
      </x:c>
      <x:c r="V27" s="22" t="n">
        <x:f>IF('Setup'!$B$22&gt;0,"",MIN(U27,'Processes'!I6))</x:f>
        <x:v>1</x:v>
      </x:c>
      <x:c r="W27" s="22" t="n">
        <x:f>IF('Setup'!$B$22&gt;0,"",MAX(0,U27-V27))</x:f>
        <x:v>0</x:v>
      </x:c>
      <x:c r="X27" s="22" t="n">
        <x:f>IF('Setup'!$B$22&gt;0,"",I27*('Processes'!F6+V27*'Processes'!H6)*'Processes'!C6*'Setup'!D17/'Processes'!B6)</x:f>
        <x:v>340.40000000000003</x:v>
      </x:c>
      <x:c r="Y27" s="22" t="n">
        <x:f>IF('Setup'!$B$22&gt;0,"",H27*F27)</x:f>
        <x:v>4</x:v>
      </x:c>
      <x:c r="Z27" s="25" t="n">
        <x:f>IF('Setup'!$B$22&gt;0,"",O27+P27)</x:f>
        <x:v>5873.28</x:v>
      </x:c>
      <x:c r="AA27" s="25" t="n">
        <x:f>IF('Setup'!$B$22&gt;0,"",'Processes'!D6*I27*'Processes'!E6*'Processes'!J6)</x:f>
        <x:v>4239.360000000001</x:v>
      </x:c>
    </x:row>
    <x:row r="28" ht="23" customHeight="1">
      <x:c r="A28" s="1" t="str">
        <x:v>Base</x:v>
      </x:c>
      <x:c r="B28" s="1" t="n">
        <x:v>8</x:v>
      </x:c>
      <x:c r="C28" s="1" t="str">
        <x:f>'Processes'!A7</x:f>
        <x:v>Pack</x:v>
      </x:c>
      <x:c r="D28" s="22" t="n">
        <x:f>IF('Setup'!$B$22&gt;0,"",'Staffing'!D13)</x:f>
        <x:v>18</x:v>
      </x:c>
      <x:c r="E28" s="22" t="n">
        <x:f>IF('Setup'!$B$22&gt;0,"",IF(B28&gt;='Processes'!N7,'Processes'!O7,0))</x:f>
        <x:v>4</x:v>
      </x:c>
      <x:c r="F28" s="23" t="n">
        <x:f>IF('Setup'!$B$22&gt;0,"",IF(E28=0,0,INDEX('Setup'!$B$9:$B$13,MIN(5,B28-'Processes'!N7+1))))</x:f>
        <x:v>1</x:v>
      </x:c>
      <x:c r="G28" s="22" t="n">
        <x:f>IF('Setup'!$B$22&gt;0,"",MIN(D28,'Processes'!M7))</x:f>
        <x:v>18</x:v>
      </x:c>
      <x:c r="H28" s="22" t="n">
        <x:f>IF('Setup'!$B$22&gt;0,"",MIN(E28,MAX(0,'Processes'!M7-G28)))</x:f>
        <x:v>4</x:v>
      </x:c>
      <x:c r="I28" s="23" t="n">
        <x:f>IF('Setup'!$B$22&gt;0,"",1-'Processes'!G7-'Setup'!C17)</x:f>
        <x:v>0.92</x:v>
      </x:c>
      <x:c r="J28" s="22" t="n">
        <x:f>IF('Setup'!$B$22&gt;0,"",(G28+H28*F28)*I28*'Processes'!F7)</x:f>
        <x:v>131.56</x:v>
      </x:c>
      <x:c r="K28" s="22" t="n">
        <x:f>IF('Setup'!$B$22&gt;0,"",(G28+H28*F28)*I28*V28*'Processes'!H7)</x:f>
        <x:v>18.216</x:v>
      </x:c>
      <x:c r="L28" s="22" t="n">
        <x:f>IF('Setup'!$B$22&gt;0,"",(J28+K28)*'Processes'!C7*'Setup'!D17/'Processes'!B7)</x:f>
        <x:v>8986.560000000001</x:v>
      </x:c>
      <x:c r="M28" s="22" t="n">
        <x:f>IF('Setup'!$B$22&gt;0,"",'Processes'!L7*'Setup'!E17)</x:f>
        <x:v>9000</x:v>
      </x:c>
      <x:c r="N28" s="24" t="n">
        <x:f>IF('Setup'!$B$22&gt;0,"",INT(MIN(L28,M28)))</x:f>
        <x:v>8986</x:v>
      </x:c>
      <x:c r="O28" s="25" t="n">
        <x:f>IF('Setup'!$B$22&gt;0,"",(D28+E28)*I28*'Processes'!E7*'Processes'!J7)</x:f>
        <x:v>3886.0800000000004</x:v>
      </x:c>
      <x:c r="P28" s="25" t="n">
        <x:f>IF('Setup'!$B$22&gt;0,"",(D28+E28)*I28*V28*'Processes'!J7*'Processes'!K7)</x:f>
        <x:v>728.6400000000001</x:v>
      </x:c>
      <x:c r="Q28" s="25" t="n">
        <x:f>IF('Setup'!$B$22&gt;0,"",Z28-AA28)</x:f>
        <x:v>1435.1999999999998</x:v>
      </x:c>
      <x:c r="R28" s="22" t="n">
        <x:f>IF('Setup'!$B$22&gt;0,"",D28+E28)</x:f>
        <x:v>22</x:v>
      </x:c>
      <x:c r="S28" s="22" t="n">
        <x:f>IF('Setup'!$B$22&gt;0,"",'Processes'!M7)</x:f>
        <x:v>26</x:v>
      </x:c>
      <x:c r="T28" s="22" t="n">
        <x:f>IF('Setup'!$B$22&gt;0,"",MAX(0,R28-S28))</x:f>
        <x:v>0</x:v>
      </x:c>
      <x:c r="U28" s="22" t="n">
        <x:f>IF('Setup'!$B$22&gt;0,"",'Staffing'!G13)</x:f>
        <x:v>1</x:v>
      </x:c>
      <x:c r="V28" s="22" t="n">
        <x:f>IF('Setup'!$B$22&gt;0,"",MIN(U28,'Processes'!I7))</x:f>
        <x:v>1</x:v>
      </x:c>
      <x:c r="W28" s="22" t="n">
        <x:f>IF('Setup'!$B$22&gt;0,"",MAX(0,U28-V28))</x:f>
        <x:v>0</x:v>
      </x:c>
      <x:c r="X28" s="22" t="n">
        <x:f>IF('Setup'!$B$22&gt;0,"",I28*('Processes'!F7+V28*'Processes'!H7)*'Processes'!C7*'Setup'!D17/'Processes'!B7)</x:f>
        <x:v>408.48</x:v>
      </x:c>
      <x:c r="Y28" s="22" t="n">
        <x:f>IF('Setup'!$B$22&gt;0,"",H28*F28)</x:f>
        <x:v>4</x:v>
      </x:c>
      <x:c r="Z28" s="25" t="n">
        <x:f>IF('Setup'!$B$22&gt;0,"",O28+P28)</x:f>
        <x:v>4614.72</x:v>
      </x:c>
      <x:c r="AA28" s="25" t="n">
        <x:f>IF('Setup'!$B$22&gt;0,"",'Processes'!D7*I28*'Processes'!E7*'Processes'!J7)</x:f>
        <x:v>3179.5200000000004</x:v>
      </x:c>
    </x:row>
    <x:row r="29" ht="23" customHeight="1">
      <x:c r="A29" s="1" t="str">
        <x:v>Base</x:v>
      </x:c>
      <x:c r="B29" s="1" t="n">
        <x:v>8</x:v>
      </x:c>
      <x:c r="C29" s="1" t="str">
        <x:f>'Processes'!A8</x:f>
        <x:v>Ship</x:v>
      </x:c>
      <x:c r="D29" s="22" t="n">
        <x:f>IF('Setup'!$B$22&gt;0,"",'Staffing'!E13)</x:f>
        <x:v>10</x:v>
      </x:c>
      <x:c r="E29" s="22" t="n">
        <x:f>IF('Setup'!$B$22&gt;0,"",IF(B29&gt;='Processes'!N8,'Processes'!O8,0))</x:f>
        <x:v>3</x:v>
      </x:c>
      <x:c r="F29" s="23" t="n">
        <x:f>IF('Setup'!$B$22&gt;0,"",IF(E29=0,0,INDEX('Setup'!$B$9:$B$13,MIN(5,B29-'Processes'!N8+1))))</x:f>
        <x:v>1</x:v>
      </x:c>
      <x:c r="G29" s="22" t="n">
        <x:f>IF('Setup'!$B$22&gt;0,"",MIN(D29,'Processes'!M8))</x:f>
        <x:v>10</x:v>
      </x:c>
      <x:c r="H29" s="22" t="n">
        <x:f>IF('Setup'!$B$22&gt;0,"",MIN(E29,MAX(0,'Processes'!M8-G29)))</x:f>
        <x:v>3</x:v>
      </x:c>
      <x:c r="I29" s="23" t="n">
        <x:f>IF('Setup'!$B$22&gt;0,"",1-'Processes'!G8-'Setup'!C17)</x:f>
        <x:v>0.92</x:v>
      </x:c>
      <x:c r="J29" s="22" t="n">
        <x:f>IF('Setup'!$B$22&gt;0,"",(G29+H29*F29)*I29*'Processes'!F8)</x:f>
        <x:v>77.74000000000001</x:v>
      </x:c>
      <x:c r="K29" s="22" t="n">
        <x:f>IF('Setup'!$B$22&gt;0,"",(G29+H29*F29)*I29*V29*'Processes'!H8)</x:f>
        <x:v>10.764000000000001</x:v>
      </x:c>
      <x:c r="L29" s="22" t="n">
        <x:f>IF('Setup'!$B$22&gt;0,"",(J29+K29)*'Processes'!C8*'Setup'!D17/'Processes'!B8)</x:f>
        <x:v>8850.4</x:v>
      </x:c>
      <x:c r="M29" s="22" t="n">
        <x:f>IF('Setup'!$B$22&gt;0,"",'Processes'!L8*'Setup'!E17)</x:f>
        <x:v>8000</x:v>
      </x:c>
      <x:c r="N29" s="24" t="n">
        <x:f>IF('Setup'!$B$22&gt;0,"",INT(MIN(L29,M29)))</x:f>
        <x:v>8000</x:v>
      </x:c>
      <x:c r="O29" s="25" t="n">
        <x:f>IF('Setup'!$B$22&gt;0,"",(D29+E29)*I29*'Processes'!E8*'Processes'!J8)</x:f>
        <x:v>2487.6800000000003</x:v>
      </x:c>
      <x:c r="P29" s="25" t="n">
        <x:f>IF('Setup'!$B$22&gt;0,"",(D29+E29)*I29*V29*'Processes'!J8*'Processes'!K8)</x:f>
        <x:v>466.44000000000005</x:v>
      </x:c>
      <x:c r="Q29" s="25" t="n">
        <x:f>IF('Setup'!$B$22&gt;0,"",Z29-AA29)</x:f>
        <x:v>1040.5200000000002</x:v>
      </x:c>
      <x:c r="R29" s="22" t="n">
        <x:f>IF('Setup'!$B$22&gt;0,"",D29+E29)</x:f>
        <x:v>13</x:v>
      </x:c>
      <x:c r="S29" s="22" t="n">
        <x:f>IF('Setup'!$B$22&gt;0,"",'Processes'!M8)</x:f>
        <x:v>16</x:v>
      </x:c>
      <x:c r="T29" s="22" t="n">
        <x:f>IF('Setup'!$B$22&gt;0,"",MAX(0,R29-S29))</x:f>
        <x:v>0</x:v>
      </x:c>
      <x:c r="U29" s="22" t="n">
        <x:f>IF('Setup'!$B$22&gt;0,"",'Staffing'!H13)</x:f>
        <x:v>1</x:v>
      </x:c>
      <x:c r="V29" s="22" t="n">
        <x:f>IF('Setup'!$B$22&gt;0,"",MIN(U29,'Processes'!I8))</x:f>
        <x:v>1</x:v>
      </x:c>
      <x:c r="W29" s="22" t="n">
        <x:f>IF('Setup'!$B$22&gt;0,"",MAX(0,U29-V29))</x:f>
        <x:v>0</x:v>
      </x:c>
      <x:c r="X29" s="22" t="n">
        <x:f>IF('Setup'!$B$22&gt;0,"",I29*('Processes'!F8+V29*'Processes'!H8)*'Processes'!C8*'Setup'!D17/'Processes'!B8)</x:f>
        <x:v>680.8000000000001</x:v>
      </x:c>
      <x:c r="Y29" s="22" t="n">
        <x:f>IF('Setup'!$B$22&gt;0,"",H29*F29)</x:f>
        <x:v>3</x:v>
      </x:c>
      <x:c r="Z29" s="25" t="n">
        <x:f>IF('Setup'!$B$22&gt;0,"",O29+P29)</x:f>
        <x:v>2954.1200000000003</x:v>
      </x:c>
      <x:c r="AA29" s="25" t="n">
        <x:f>IF('Setup'!$B$22&gt;0,"",'Processes'!D8*I29*'Processes'!E8*'Processes'!J8)</x:f>
        <x:v>1913.6000000000001</x:v>
      </x:c>
    </x:row>
    <x:row r="30" ht="23" customHeight="1">
      <x:c r="A30" s="1" t="str">
        <x:v>Base</x:v>
      </x:c>
      <x:c r="B30" s="1" t="n">
        <x:v>9</x:v>
      </x:c>
      <x:c r="C30" s="1" t="str">
        <x:f>'Processes'!A6</x:f>
        <x:v>Pick</x:v>
      </x:c>
      <x:c r="D30" s="22" t="n">
        <x:f>IF('Setup'!$B$22&gt;0,"",'Staffing'!C14)</x:f>
        <x:v>24</x:v>
      </x:c>
      <x:c r="E30" s="22" t="n">
        <x:f>IF('Setup'!$B$22&gt;0,"",IF(B30&gt;='Processes'!N6,'Processes'!O6,0))</x:f>
        <x:v>4</x:v>
      </x:c>
      <x:c r="F30" s="23" t="n">
        <x:f>IF('Setup'!$B$22&gt;0,"",IF(E30=0,0,INDEX('Setup'!$B$9:$B$13,MIN(5,B30-'Processes'!N6+1))))</x:f>
        <x:v>1</x:v>
      </x:c>
      <x:c r="G30" s="22" t="n">
        <x:f>IF('Setup'!$B$22&gt;0,"",MIN(D30,'Processes'!M6))</x:f>
        <x:v>24</x:v>
      </x:c>
      <x:c r="H30" s="22" t="n">
        <x:f>IF('Setup'!$B$22&gt;0,"",MIN(E30,MAX(0,'Processes'!M6-G30)))</x:f>
        <x:v>4</x:v>
      </x:c>
      <x:c r="I30" s="23" t="n">
        <x:f>IF('Setup'!$B$22&gt;0,"",1-'Processes'!G6-'Setup'!C17)</x:f>
        <x:v>0.92</x:v>
      </x:c>
      <x:c r="J30" s="22" t="n">
        <x:f>IF('Setup'!$B$22&gt;0,"",(G30+H30*F30)*I30*'Processes'!F6)</x:f>
        <x:v>167.44</x:v>
      </x:c>
      <x:c r="K30" s="22" t="n">
        <x:f>IF('Setup'!$B$22&gt;0,"",(G30+H30*F30)*I30*V30*'Processes'!H6)</x:f>
        <x:v>23.184</x:v>
      </x:c>
      <x:c r="L30" s="22" t="n">
        <x:f>IF('Setup'!$B$22&gt;0,"",(J30+K30)*'Processes'!C6*'Setup'!D17/'Processes'!B6)</x:f>
        <x:v>9531.199999999999</x:v>
      </x:c>
      <x:c r="M30" s="22" t="n">
        <x:f>IF('Setup'!$B$22&gt;0,"",'Processes'!L6*'Setup'!E17)</x:f>
        <x:v>10000</x:v>
      </x:c>
      <x:c r="N30" s="24" t="n">
        <x:f>IF('Setup'!$B$22&gt;0,"",INT(MIN(L30,M30)))</x:f>
        <x:v>9531</x:v>
      </x:c>
      <x:c r="O30" s="25" t="n">
        <x:f>IF('Setup'!$B$22&gt;0,"",(D30+E30)*I30*'Processes'!E6*'Processes'!J6)</x:f>
        <x:v>4945.92</x:v>
      </x:c>
      <x:c r="P30" s="25" t="n">
        <x:f>IF('Setup'!$B$22&gt;0,"",(D30+E30)*I30*V30*'Processes'!J6*'Processes'!K6)</x:f>
        <x:v>927.36</x:v>
      </x:c>
      <x:c r="Q30" s="25" t="n">
        <x:f>IF('Setup'!$B$22&gt;0,"",Z30-AA30)</x:f>
        <x:v>1633.9199999999992</x:v>
      </x:c>
      <x:c r="R30" s="22" t="n">
        <x:f>IF('Setup'!$B$22&gt;0,"",D30+E30)</x:f>
        <x:v>28</x:v>
      </x:c>
      <x:c r="S30" s="22" t="n">
        <x:f>IF('Setup'!$B$22&gt;0,"",'Processes'!M6)</x:f>
        <x:v>32</x:v>
      </x:c>
      <x:c r="T30" s="22" t="n">
        <x:f>IF('Setup'!$B$22&gt;0,"",MAX(0,R30-S30))</x:f>
        <x:v>0</x:v>
      </x:c>
      <x:c r="U30" s="22" t="n">
        <x:f>IF('Setup'!$B$22&gt;0,"",'Staffing'!F14)</x:f>
        <x:v>1</x:v>
      </x:c>
      <x:c r="V30" s="22" t="n">
        <x:f>IF('Setup'!$B$22&gt;0,"",MIN(U30,'Processes'!I6))</x:f>
        <x:v>1</x:v>
      </x:c>
      <x:c r="W30" s="22" t="n">
        <x:f>IF('Setup'!$B$22&gt;0,"",MAX(0,U30-V30))</x:f>
        <x:v>0</x:v>
      </x:c>
      <x:c r="X30" s="22" t="n">
        <x:f>IF('Setup'!$B$22&gt;0,"",I30*('Processes'!F6+V30*'Processes'!H6)*'Processes'!C6*'Setup'!D17/'Processes'!B6)</x:f>
        <x:v>340.40000000000003</x:v>
      </x:c>
      <x:c r="Y30" s="22" t="n">
        <x:f>IF('Setup'!$B$22&gt;0,"",H30*F30)</x:f>
        <x:v>4</x:v>
      </x:c>
      <x:c r="Z30" s="25" t="n">
        <x:f>IF('Setup'!$B$22&gt;0,"",O30+P30)</x:f>
        <x:v>5873.28</x:v>
      </x:c>
      <x:c r="AA30" s="25" t="n">
        <x:f>IF('Setup'!$B$22&gt;0,"",'Processes'!D6*I30*'Processes'!E6*'Processes'!J6)</x:f>
        <x:v>4239.360000000001</x:v>
      </x:c>
    </x:row>
    <x:row r="31" ht="23" customHeight="1">
      <x:c r="A31" s="1" t="str">
        <x:v>Base</x:v>
      </x:c>
      <x:c r="B31" s="1" t="n">
        <x:v>9</x:v>
      </x:c>
      <x:c r="C31" s="1" t="str">
        <x:f>'Processes'!A7</x:f>
        <x:v>Pack</x:v>
      </x:c>
      <x:c r="D31" s="22" t="n">
        <x:f>IF('Setup'!$B$22&gt;0,"",'Staffing'!D14)</x:f>
        <x:v>18</x:v>
      </x:c>
      <x:c r="E31" s="22" t="n">
        <x:f>IF('Setup'!$B$22&gt;0,"",IF(B31&gt;='Processes'!N7,'Processes'!O7,0))</x:f>
        <x:v>4</x:v>
      </x:c>
      <x:c r="F31" s="23" t="n">
        <x:f>IF('Setup'!$B$22&gt;0,"",IF(E31=0,0,INDEX('Setup'!$B$9:$B$13,MIN(5,B31-'Processes'!N7+1))))</x:f>
        <x:v>1</x:v>
      </x:c>
      <x:c r="G31" s="22" t="n">
        <x:f>IF('Setup'!$B$22&gt;0,"",MIN(D31,'Processes'!M7))</x:f>
        <x:v>18</x:v>
      </x:c>
      <x:c r="H31" s="22" t="n">
        <x:f>IF('Setup'!$B$22&gt;0,"",MIN(E31,MAX(0,'Processes'!M7-G31)))</x:f>
        <x:v>4</x:v>
      </x:c>
      <x:c r="I31" s="23" t="n">
        <x:f>IF('Setup'!$B$22&gt;0,"",1-'Processes'!G7-'Setup'!C17)</x:f>
        <x:v>0.92</x:v>
      </x:c>
      <x:c r="J31" s="22" t="n">
        <x:f>IF('Setup'!$B$22&gt;0,"",(G31+H31*F31)*I31*'Processes'!F7)</x:f>
        <x:v>131.56</x:v>
      </x:c>
      <x:c r="K31" s="22" t="n">
        <x:f>IF('Setup'!$B$22&gt;0,"",(G31+H31*F31)*I31*V31*'Processes'!H7)</x:f>
        <x:v>18.216</x:v>
      </x:c>
      <x:c r="L31" s="22" t="n">
        <x:f>IF('Setup'!$B$22&gt;0,"",(J31+K31)*'Processes'!C7*'Setup'!D17/'Processes'!B7)</x:f>
        <x:v>8986.560000000001</x:v>
      </x:c>
      <x:c r="M31" s="22" t="n">
        <x:f>IF('Setup'!$B$22&gt;0,"",'Processes'!L7*'Setup'!E17)</x:f>
        <x:v>9000</x:v>
      </x:c>
      <x:c r="N31" s="24" t="n">
        <x:f>IF('Setup'!$B$22&gt;0,"",INT(MIN(L31,M31)))</x:f>
        <x:v>8986</x:v>
      </x:c>
      <x:c r="O31" s="25" t="n">
        <x:f>IF('Setup'!$B$22&gt;0,"",(D31+E31)*I31*'Processes'!E7*'Processes'!J7)</x:f>
        <x:v>3886.0800000000004</x:v>
      </x:c>
      <x:c r="P31" s="25" t="n">
        <x:f>IF('Setup'!$B$22&gt;0,"",(D31+E31)*I31*V31*'Processes'!J7*'Processes'!K7)</x:f>
        <x:v>728.6400000000001</x:v>
      </x:c>
      <x:c r="Q31" s="25" t="n">
        <x:f>IF('Setup'!$B$22&gt;0,"",Z31-AA31)</x:f>
        <x:v>1435.1999999999998</x:v>
      </x:c>
      <x:c r="R31" s="22" t="n">
        <x:f>IF('Setup'!$B$22&gt;0,"",D31+E31)</x:f>
        <x:v>22</x:v>
      </x:c>
      <x:c r="S31" s="22" t="n">
        <x:f>IF('Setup'!$B$22&gt;0,"",'Processes'!M7)</x:f>
        <x:v>26</x:v>
      </x:c>
      <x:c r="T31" s="22" t="n">
        <x:f>IF('Setup'!$B$22&gt;0,"",MAX(0,R31-S31))</x:f>
        <x:v>0</x:v>
      </x:c>
      <x:c r="U31" s="22" t="n">
        <x:f>IF('Setup'!$B$22&gt;0,"",'Staffing'!G14)</x:f>
        <x:v>1</x:v>
      </x:c>
      <x:c r="V31" s="22" t="n">
        <x:f>IF('Setup'!$B$22&gt;0,"",MIN(U31,'Processes'!I7))</x:f>
        <x:v>1</x:v>
      </x:c>
      <x:c r="W31" s="22" t="n">
        <x:f>IF('Setup'!$B$22&gt;0,"",MAX(0,U31-V31))</x:f>
        <x:v>0</x:v>
      </x:c>
      <x:c r="X31" s="22" t="n">
        <x:f>IF('Setup'!$B$22&gt;0,"",I31*('Processes'!F7+V31*'Processes'!H7)*'Processes'!C7*'Setup'!D17/'Processes'!B7)</x:f>
        <x:v>408.48</x:v>
      </x:c>
      <x:c r="Y31" s="22" t="n">
        <x:f>IF('Setup'!$B$22&gt;0,"",H31*F31)</x:f>
        <x:v>4</x:v>
      </x:c>
      <x:c r="Z31" s="25" t="n">
        <x:f>IF('Setup'!$B$22&gt;0,"",O31+P31)</x:f>
        <x:v>4614.72</x:v>
      </x:c>
      <x:c r="AA31" s="25" t="n">
        <x:f>IF('Setup'!$B$22&gt;0,"",'Processes'!D7*I31*'Processes'!E7*'Processes'!J7)</x:f>
        <x:v>3179.5200000000004</x:v>
      </x:c>
    </x:row>
    <x:row r="32" ht="23" customHeight="1">
      <x:c r="A32" s="1" t="str">
        <x:v>Base</x:v>
      </x:c>
      <x:c r="B32" s="1" t="n">
        <x:v>9</x:v>
      </x:c>
      <x:c r="C32" s="1" t="str">
        <x:f>'Processes'!A8</x:f>
        <x:v>Ship</x:v>
      </x:c>
      <x:c r="D32" s="22" t="n">
        <x:f>IF('Setup'!$B$22&gt;0,"",'Staffing'!E14)</x:f>
        <x:v>10</x:v>
      </x:c>
      <x:c r="E32" s="22" t="n">
        <x:f>IF('Setup'!$B$22&gt;0,"",IF(B32&gt;='Processes'!N8,'Processes'!O8,0))</x:f>
        <x:v>3</x:v>
      </x:c>
      <x:c r="F32" s="23" t="n">
        <x:f>IF('Setup'!$B$22&gt;0,"",IF(E32=0,0,INDEX('Setup'!$B$9:$B$13,MIN(5,B32-'Processes'!N8+1))))</x:f>
        <x:v>1</x:v>
      </x:c>
      <x:c r="G32" s="22" t="n">
        <x:f>IF('Setup'!$B$22&gt;0,"",MIN(D32,'Processes'!M8))</x:f>
        <x:v>10</x:v>
      </x:c>
      <x:c r="H32" s="22" t="n">
        <x:f>IF('Setup'!$B$22&gt;0,"",MIN(E32,MAX(0,'Processes'!M8-G32)))</x:f>
        <x:v>3</x:v>
      </x:c>
      <x:c r="I32" s="23" t="n">
        <x:f>IF('Setup'!$B$22&gt;0,"",1-'Processes'!G8-'Setup'!C17)</x:f>
        <x:v>0.92</x:v>
      </x:c>
      <x:c r="J32" s="22" t="n">
        <x:f>IF('Setup'!$B$22&gt;0,"",(G32+H32*F32)*I32*'Processes'!F8)</x:f>
        <x:v>77.74000000000001</x:v>
      </x:c>
      <x:c r="K32" s="22" t="n">
        <x:f>IF('Setup'!$B$22&gt;0,"",(G32+H32*F32)*I32*V32*'Processes'!H8)</x:f>
        <x:v>10.764000000000001</x:v>
      </x:c>
      <x:c r="L32" s="22" t="n">
        <x:f>IF('Setup'!$B$22&gt;0,"",(J32+K32)*'Processes'!C8*'Setup'!D17/'Processes'!B8)</x:f>
        <x:v>8850.4</x:v>
      </x:c>
      <x:c r="M32" s="22" t="n">
        <x:f>IF('Setup'!$B$22&gt;0,"",'Processes'!L8*'Setup'!E17)</x:f>
        <x:v>8000</x:v>
      </x:c>
      <x:c r="N32" s="24" t="n">
        <x:f>IF('Setup'!$B$22&gt;0,"",INT(MIN(L32,M32)))</x:f>
        <x:v>8000</x:v>
      </x:c>
      <x:c r="O32" s="25" t="n">
        <x:f>IF('Setup'!$B$22&gt;0,"",(D32+E32)*I32*'Processes'!E8*'Processes'!J8)</x:f>
        <x:v>2487.6800000000003</x:v>
      </x:c>
      <x:c r="P32" s="25" t="n">
        <x:f>IF('Setup'!$B$22&gt;0,"",(D32+E32)*I32*V32*'Processes'!J8*'Processes'!K8)</x:f>
        <x:v>466.44000000000005</x:v>
      </x:c>
      <x:c r="Q32" s="25" t="n">
        <x:f>IF('Setup'!$B$22&gt;0,"",Z32-AA32)</x:f>
        <x:v>1040.5200000000002</x:v>
      </x:c>
      <x:c r="R32" s="22" t="n">
        <x:f>IF('Setup'!$B$22&gt;0,"",D32+E32)</x:f>
        <x:v>13</x:v>
      </x:c>
      <x:c r="S32" s="22" t="n">
        <x:f>IF('Setup'!$B$22&gt;0,"",'Processes'!M8)</x:f>
        <x:v>16</x:v>
      </x:c>
      <x:c r="T32" s="22" t="n">
        <x:f>IF('Setup'!$B$22&gt;0,"",MAX(0,R32-S32))</x:f>
        <x:v>0</x:v>
      </x:c>
      <x:c r="U32" s="22" t="n">
        <x:f>IF('Setup'!$B$22&gt;0,"",'Staffing'!H14)</x:f>
        <x:v>1</x:v>
      </x:c>
      <x:c r="V32" s="22" t="n">
        <x:f>IF('Setup'!$B$22&gt;0,"",MIN(U32,'Processes'!I8))</x:f>
        <x:v>1</x:v>
      </x:c>
      <x:c r="W32" s="22" t="n">
        <x:f>IF('Setup'!$B$22&gt;0,"",MAX(0,U32-V32))</x:f>
        <x:v>0</x:v>
      </x:c>
      <x:c r="X32" s="22" t="n">
        <x:f>IF('Setup'!$B$22&gt;0,"",I32*('Processes'!F8+V32*'Processes'!H8)*'Processes'!C8*'Setup'!D17/'Processes'!B8)</x:f>
        <x:v>680.8000000000001</x:v>
      </x:c>
      <x:c r="Y32" s="22" t="n">
        <x:f>IF('Setup'!$B$22&gt;0,"",H32*F32)</x:f>
        <x:v>3</x:v>
      </x:c>
      <x:c r="Z32" s="25" t="n">
        <x:f>IF('Setup'!$B$22&gt;0,"",O32+P32)</x:f>
        <x:v>2954.1200000000003</x:v>
      </x:c>
      <x:c r="AA32" s="25" t="n">
        <x:f>IF('Setup'!$B$22&gt;0,"",'Processes'!D8*I32*'Processes'!E8*'Processes'!J8)</x:f>
        <x:v>1913.6000000000001</x:v>
      </x:c>
    </x:row>
    <x:row r="33" ht="23" customHeight="1">
      <x:c r="A33" s="1" t="str">
        <x:v>Base</x:v>
      </x:c>
      <x:c r="B33" s="1" t="n">
        <x:v>10</x:v>
      </x:c>
      <x:c r="C33" s="1" t="str">
        <x:f>'Processes'!A6</x:f>
        <x:v>Pick</x:v>
      </x:c>
      <x:c r="D33" s="22" t="n">
        <x:f>IF('Setup'!$B$22&gt;0,"",'Staffing'!C15)</x:f>
        <x:v>24</x:v>
      </x:c>
      <x:c r="E33" s="22" t="n">
        <x:f>IF('Setup'!$B$22&gt;0,"",IF(B33&gt;='Processes'!N6,'Processes'!O6,0))</x:f>
        <x:v>4</x:v>
      </x:c>
      <x:c r="F33" s="23" t="n">
        <x:f>IF('Setup'!$B$22&gt;0,"",IF(E33=0,0,INDEX('Setup'!$B$9:$B$13,MIN(5,B33-'Processes'!N6+1))))</x:f>
        <x:v>1</x:v>
      </x:c>
      <x:c r="G33" s="22" t="n">
        <x:f>IF('Setup'!$B$22&gt;0,"",MIN(D33,'Processes'!M6))</x:f>
        <x:v>24</x:v>
      </x:c>
      <x:c r="H33" s="22" t="n">
        <x:f>IF('Setup'!$B$22&gt;0,"",MIN(E33,MAX(0,'Processes'!M6-G33)))</x:f>
        <x:v>4</x:v>
      </x:c>
      <x:c r="I33" s="23" t="n">
        <x:f>IF('Setup'!$B$22&gt;0,"",1-'Processes'!G6-'Setup'!C17)</x:f>
        <x:v>0.92</x:v>
      </x:c>
      <x:c r="J33" s="22" t="n">
        <x:f>IF('Setup'!$B$22&gt;0,"",(G33+H33*F33)*I33*'Processes'!F6)</x:f>
        <x:v>167.44</x:v>
      </x:c>
      <x:c r="K33" s="22" t="n">
        <x:f>IF('Setup'!$B$22&gt;0,"",(G33+H33*F33)*I33*V33*'Processes'!H6)</x:f>
        <x:v>0</x:v>
      </x:c>
      <x:c r="L33" s="22" t="n">
        <x:f>IF('Setup'!$B$22&gt;0,"",(J33+K33)*'Processes'!C6*'Setup'!D17/'Processes'!B6)</x:f>
        <x:v>8372</x:v>
      </x:c>
      <x:c r="M33" s="22" t="n">
        <x:f>IF('Setup'!$B$22&gt;0,"",'Processes'!L6*'Setup'!E17)</x:f>
        <x:v>10000</x:v>
      </x:c>
      <x:c r="N33" s="24" t="n">
        <x:f>IF('Setup'!$B$22&gt;0,"",INT(MIN(L33,M33)))</x:f>
        <x:v>8372</x:v>
      </x:c>
      <x:c r="O33" s="25" t="n">
        <x:f>IF('Setup'!$B$22&gt;0,"",(D33+E33)*I33*'Processes'!E6*'Processes'!J6)</x:f>
        <x:v>4945.92</x:v>
      </x:c>
      <x:c r="P33" s="25" t="n">
        <x:f>IF('Setup'!$B$22&gt;0,"",(D33+E33)*I33*V33*'Processes'!J6*'Processes'!K6)</x:f>
        <x:v>0</x:v>
      </x:c>
      <x:c r="Q33" s="25" t="n">
        <x:f>IF('Setup'!$B$22&gt;0,"",Z33-AA33)</x:f>
        <x:v>706.5599999999995</x:v>
      </x:c>
      <x:c r="R33" s="22" t="n">
        <x:f>IF('Setup'!$B$22&gt;0,"",D33+E33)</x:f>
        <x:v>28</x:v>
      </x:c>
      <x:c r="S33" s="22" t="n">
        <x:f>IF('Setup'!$B$22&gt;0,"",'Processes'!M6)</x:f>
        <x:v>32</x:v>
      </x:c>
      <x:c r="T33" s="22" t="n">
        <x:f>IF('Setup'!$B$22&gt;0,"",MAX(0,R33-S33))</x:f>
        <x:v>0</x:v>
      </x:c>
      <x:c r="U33" s="22" t="n">
        <x:f>IF('Setup'!$B$22&gt;0,"",'Staffing'!F15)</x:f>
        <x:v>0</x:v>
      </x:c>
      <x:c r="V33" s="22" t="n">
        <x:f>IF('Setup'!$B$22&gt;0,"",MIN(U33,'Processes'!I6))</x:f>
        <x:v>0</x:v>
      </x:c>
      <x:c r="W33" s="22" t="n">
        <x:f>IF('Setup'!$B$22&gt;0,"",MAX(0,U33-V33))</x:f>
        <x:v>0</x:v>
      </x:c>
      <x:c r="X33" s="22" t="n">
        <x:f>IF('Setup'!$B$22&gt;0,"",I33*('Processes'!F6+V33*'Processes'!H6)*'Processes'!C6*'Setup'!D17/'Processes'!B6)</x:f>
        <x:v>299</x:v>
      </x:c>
      <x:c r="Y33" s="22" t="n">
        <x:f>IF('Setup'!$B$22&gt;0,"",H33*F33)</x:f>
        <x:v>4</x:v>
      </x:c>
      <x:c r="Z33" s="25" t="n">
        <x:f>IF('Setup'!$B$22&gt;0,"",O33+P33)</x:f>
        <x:v>4945.92</x:v>
      </x:c>
      <x:c r="AA33" s="25" t="n">
        <x:f>IF('Setup'!$B$22&gt;0,"",'Processes'!D6*I33*'Processes'!E6*'Processes'!J6)</x:f>
        <x:v>4239.360000000001</x:v>
      </x:c>
    </x:row>
    <x:row r="34" ht="23" customHeight="1">
      <x:c r="A34" s="1" t="str">
        <x:v>Base</x:v>
      </x:c>
      <x:c r="B34" s="1" t="n">
        <x:v>10</x:v>
      </x:c>
      <x:c r="C34" s="1" t="str">
        <x:f>'Processes'!A7</x:f>
        <x:v>Pack</x:v>
      </x:c>
      <x:c r="D34" s="22" t="n">
        <x:f>IF('Setup'!$B$22&gt;0,"",'Staffing'!D15)</x:f>
        <x:v>18</x:v>
      </x:c>
      <x:c r="E34" s="22" t="n">
        <x:f>IF('Setup'!$B$22&gt;0,"",IF(B34&gt;='Processes'!N7,'Processes'!O7,0))</x:f>
        <x:v>4</x:v>
      </x:c>
      <x:c r="F34" s="23" t="n">
        <x:f>IF('Setup'!$B$22&gt;0,"",IF(E34=0,0,INDEX('Setup'!$B$9:$B$13,MIN(5,B34-'Processes'!N7+1))))</x:f>
        <x:v>1</x:v>
      </x:c>
      <x:c r="G34" s="22" t="n">
        <x:f>IF('Setup'!$B$22&gt;0,"",MIN(D34,'Processes'!M7))</x:f>
        <x:v>18</x:v>
      </x:c>
      <x:c r="H34" s="22" t="n">
        <x:f>IF('Setup'!$B$22&gt;0,"",MIN(E34,MAX(0,'Processes'!M7-G34)))</x:f>
        <x:v>4</x:v>
      </x:c>
      <x:c r="I34" s="23" t="n">
        <x:f>IF('Setup'!$B$22&gt;0,"",1-'Processes'!G7-'Setup'!C17)</x:f>
        <x:v>0.92</x:v>
      </x:c>
      <x:c r="J34" s="22" t="n">
        <x:f>IF('Setup'!$B$22&gt;0,"",(G34+H34*F34)*I34*'Processes'!F7)</x:f>
        <x:v>131.56</x:v>
      </x:c>
      <x:c r="K34" s="22" t="n">
        <x:f>IF('Setup'!$B$22&gt;0,"",(G34+H34*F34)*I34*V34*'Processes'!H7)</x:f>
        <x:v>0</x:v>
      </x:c>
      <x:c r="L34" s="22" t="n">
        <x:f>IF('Setup'!$B$22&gt;0,"",(J34+K34)*'Processes'!C7*'Setup'!D17/'Processes'!B7)</x:f>
        <x:v>7893.6</x:v>
      </x:c>
      <x:c r="M34" s="22" t="n">
        <x:f>IF('Setup'!$B$22&gt;0,"",'Processes'!L7*'Setup'!E17)</x:f>
        <x:v>9000</x:v>
      </x:c>
      <x:c r="N34" s="24" t="n">
        <x:f>IF('Setup'!$B$22&gt;0,"",INT(MIN(L34,M34)))</x:f>
        <x:v>7893</x:v>
      </x:c>
      <x:c r="O34" s="25" t="n">
        <x:f>IF('Setup'!$B$22&gt;0,"",(D34+E34)*I34*'Processes'!E7*'Processes'!J7)</x:f>
        <x:v>3886.0800000000004</x:v>
      </x:c>
      <x:c r="P34" s="25" t="n">
        <x:f>IF('Setup'!$B$22&gt;0,"",(D34+E34)*I34*V34*'Processes'!J7*'Processes'!K7)</x:f>
        <x:v>0</x:v>
      </x:c>
      <x:c r="Q34" s="25" t="n">
        <x:f>IF('Setup'!$B$22&gt;0,"",Z34-AA34)</x:f>
        <x:v>706.56</x:v>
      </x:c>
      <x:c r="R34" s="22" t="n">
        <x:f>IF('Setup'!$B$22&gt;0,"",D34+E34)</x:f>
        <x:v>22</x:v>
      </x:c>
      <x:c r="S34" s="22" t="n">
        <x:f>IF('Setup'!$B$22&gt;0,"",'Processes'!M7)</x:f>
        <x:v>26</x:v>
      </x:c>
      <x:c r="T34" s="22" t="n">
        <x:f>IF('Setup'!$B$22&gt;0,"",MAX(0,R34-S34))</x:f>
        <x:v>0</x:v>
      </x:c>
      <x:c r="U34" s="22" t="n">
        <x:f>IF('Setup'!$B$22&gt;0,"",'Staffing'!G15)</x:f>
        <x:v>0</x:v>
      </x:c>
      <x:c r="V34" s="22" t="n">
        <x:f>IF('Setup'!$B$22&gt;0,"",MIN(U34,'Processes'!I7))</x:f>
        <x:v>0</x:v>
      </x:c>
      <x:c r="W34" s="22" t="n">
        <x:f>IF('Setup'!$B$22&gt;0,"",MAX(0,U34-V34))</x:f>
        <x:v>0</x:v>
      </x:c>
      <x:c r="X34" s="22" t="n">
        <x:f>IF('Setup'!$B$22&gt;0,"",I34*('Processes'!F7+V34*'Processes'!H7)*'Processes'!C7*'Setup'!D17/'Processes'!B7)</x:f>
        <x:v>358.8</x:v>
      </x:c>
      <x:c r="Y34" s="22" t="n">
        <x:f>IF('Setup'!$B$22&gt;0,"",H34*F34)</x:f>
        <x:v>4</x:v>
      </x:c>
      <x:c r="Z34" s="25" t="n">
        <x:f>IF('Setup'!$B$22&gt;0,"",O34+P34)</x:f>
        <x:v>3886.0800000000004</x:v>
      </x:c>
      <x:c r="AA34" s="25" t="n">
        <x:f>IF('Setup'!$B$22&gt;0,"",'Processes'!D7*I34*'Processes'!E7*'Processes'!J7)</x:f>
        <x:v>3179.5200000000004</x:v>
      </x:c>
    </x:row>
    <x:row r="35" ht="23" customHeight="1">
      <x:c r="A35" s="1" t="str">
        <x:v>Base</x:v>
      </x:c>
      <x:c r="B35" s="1" t="n">
        <x:v>10</x:v>
      </x:c>
      <x:c r="C35" s="1" t="str">
        <x:f>'Processes'!A8</x:f>
        <x:v>Ship</x:v>
      </x:c>
      <x:c r="D35" s="22" t="n">
        <x:f>IF('Setup'!$B$22&gt;0,"",'Staffing'!E15)</x:f>
        <x:v>10</x:v>
      </x:c>
      <x:c r="E35" s="22" t="n">
        <x:f>IF('Setup'!$B$22&gt;0,"",IF(B35&gt;='Processes'!N8,'Processes'!O8,0))</x:f>
        <x:v>3</x:v>
      </x:c>
      <x:c r="F35" s="23" t="n">
        <x:f>IF('Setup'!$B$22&gt;0,"",IF(E35=0,0,INDEX('Setup'!$B$9:$B$13,MIN(5,B35-'Processes'!N8+1))))</x:f>
        <x:v>1</x:v>
      </x:c>
      <x:c r="G35" s="22" t="n">
        <x:f>IF('Setup'!$B$22&gt;0,"",MIN(D35,'Processes'!M8))</x:f>
        <x:v>10</x:v>
      </x:c>
      <x:c r="H35" s="22" t="n">
        <x:f>IF('Setup'!$B$22&gt;0,"",MIN(E35,MAX(0,'Processes'!M8-G35)))</x:f>
        <x:v>3</x:v>
      </x:c>
      <x:c r="I35" s="23" t="n">
        <x:f>IF('Setup'!$B$22&gt;0,"",1-'Processes'!G8-'Setup'!C17)</x:f>
        <x:v>0.92</x:v>
      </x:c>
      <x:c r="J35" s="22" t="n">
        <x:f>IF('Setup'!$B$22&gt;0,"",(G35+H35*F35)*I35*'Processes'!F8)</x:f>
        <x:v>77.74000000000001</x:v>
      </x:c>
      <x:c r="K35" s="22" t="n">
        <x:f>IF('Setup'!$B$22&gt;0,"",(G35+H35*F35)*I35*V35*'Processes'!H8)</x:f>
        <x:v>0</x:v>
      </x:c>
      <x:c r="L35" s="22" t="n">
        <x:f>IF('Setup'!$B$22&gt;0,"",(J35+K35)*'Processes'!C8*'Setup'!D17/'Processes'!B8)</x:f>
        <x:v>7774.000000000001</x:v>
      </x:c>
      <x:c r="M35" s="22" t="n">
        <x:f>IF('Setup'!$B$22&gt;0,"",'Processes'!L8*'Setup'!E17)</x:f>
        <x:v>8000</x:v>
      </x:c>
      <x:c r="N35" s="24" t="n">
        <x:f>IF('Setup'!$B$22&gt;0,"",INT(MIN(L35,M35)))</x:f>
        <x:v>7774</x:v>
      </x:c>
      <x:c r="O35" s="25" t="n">
        <x:f>IF('Setup'!$B$22&gt;0,"",(D35+E35)*I35*'Processes'!E8*'Processes'!J8)</x:f>
        <x:v>2487.6800000000003</x:v>
      </x:c>
      <x:c r="P35" s="25" t="n">
        <x:f>IF('Setup'!$B$22&gt;0,"",(D35+E35)*I35*V35*'Processes'!J8*'Processes'!K8)</x:f>
        <x:v>0</x:v>
      </x:c>
      <x:c r="Q35" s="25" t="n">
        <x:f>IF('Setup'!$B$22&gt;0,"",Z35-AA35)</x:f>
        <x:v>574.0800000000002</x:v>
      </x:c>
      <x:c r="R35" s="22" t="n">
        <x:f>IF('Setup'!$B$22&gt;0,"",D35+E35)</x:f>
        <x:v>13</x:v>
      </x:c>
      <x:c r="S35" s="22" t="n">
        <x:f>IF('Setup'!$B$22&gt;0,"",'Processes'!M8)</x:f>
        <x:v>16</x:v>
      </x:c>
      <x:c r="T35" s="22" t="n">
        <x:f>IF('Setup'!$B$22&gt;0,"",MAX(0,R35-S35))</x:f>
        <x:v>0</x:v>
      </x:c>
      <x:c r="U35" s="22" t="n">
        <x:f>IF('Setup'!$B$22&gt;0,"",'Staffing'!H15)</x:f>
        <x:v>0</x:v>
      </x:c>
      <x:c r="V35" s="22" t="n">
        <x:f>IF('Setup'!$B$22&gt;0,"",MIN(U35,'Processes'!I8))</x:f>
        <x:v>0</x:v>
      </x:c>
      <x:c r="W35" s="22" t="n">
        <x:f>IF('Setup'!$B$22&gt;0,"",MAX(0,U35-V35))</x:f>
        <x:v>0</x:v>
      </x:c>
      <x:c r="X35" s="22" t="n">
        <x:f>IF('Setup'!$B$22&gt;0,"",I35*('Processes'!F8+V35*'Processes'!H8)*'Processes'!C8*'Setup'!D17/'Processes'!B8)</x:f>
        <x:v>598</x:v>
      </x:c>
      <x:c r="Y35" s="22" t="n">
        <x:f>IF('Setup'!$B$22&gt;0,"",H35*F35)</x:f>
        <x:v>3</x:v>
      </x:c>
      <x:c r="Z35" s="25" t="n">
        <x:f>IF('Setup'!$B$22&gt;0,"",O35+P35)</x:f>
        <x:v>2487.6800000000003</x:v>
      </x:c>
      <x:c r="AA35" s="25" t="n">
        <x:f>IF('Setup'!$B$22&gt;0,"",'Processes'!D8*I35*'Processes'!E8*'Processes'!J8)</x:f>
        <x:v>1913.6000000000001</x:v>
      </x:c>
    </x:row>
    <x:row r="36" ht="23" customHeight="1">
      <x:c r="A36" s="1" t="str">
        <x:v>Base</x:v>
      </x:c>
      <x:c r="B36" s="1" t="n">
        <x:v>11</x:v>
      </x:c>
      <x:c r="C36" s="1" t="str">
        <x:f>'Processes'!A6</x:f>
        <x:v>Pick</x:v>
      </x:c>
      <x:c r="D36" s="22" t="n">
        <x:f>IF('Setup'!$B$22&gt;0,"",'Staffing'!C16)</x:f>
        <x:v>24</x:v>
      </x:c>
      <x:c r="E36" s="22" t="n">
        <x:f>IF('Setup'!$B$22&gt;0,"",IF(B36&gt;='Processes'!N6,'Processes'!O6,0))</x:f>
        <x:v>4</x:v>
      </x:c>
      <x:c r="F36" s="23" t="n">
        <x:f>IF('Setup'!$B$22&gt;0,"",IF(E36=0,0,INDEX('Setup'!$B$9:$B$13,MIN(5,B36-'Processes'!N6+1))))</x:f>
        <x:v>1</x:v>
      </x:c>
      <x:c r="G36" s="22" t="n">
        <x:f>IF('Setup'!$B$22&gt;0,"",MIN(D36,'Processes'!M6))</x:f>
        <x:v>24</x:v>
      </x:c>
      <x:c r="H36" s="22" t="n">
        <x:f>IF('Setup'!$B$22&gt;0,"",MIN(E36,MAX(0,'Processes'!M6-G36)))</x:f>
        <x:v>4</x:v>
      </x:c>
      <x:c r="I36" s="23" t="n">
        <x:f>IF('Setup'!$B$22&gt;0,"",1-'Processes'!G6-'Setup'!C17)</x:f>
        <x:v>0.92</x:v>
      </x:c>
      <x:c r="J36" s="22" t="n">
        <x:f>IF('Setup'!$B$22&gt;0,"",(G36+H36*F36)*I36*'Processes'!F6)</x:f>
        <x:v>167.44</x:v>
      </x:c>
      <x:c r="K36" s="22" t="n">
        <x:f>IF('Setup'!$B$22&gt;0,"",(G36+H36*F36)*I36*V36*'Processes'!H6)</x:f>
        <x:v>0</x:v>
      </x:c>
      <x:c r="L36" s="22" t="n">
        <x:f>IF('Setup'!$B$22&gt;0,"",(J36+K36)*'Processes'!C6*'Setup'!D17/'Processes'!B6)</x:f>
        <x:v>8372</x:v>
      </x:c>
      <x:c r="M36" s="22" t="n">
        <x:f>IF('Setup'!$B$22&gt;0,"",'Processes'!L6*'Setup'!E17)</x:f>
        <x:v>10000</x:v>
      </x:c>
      <x:c r="N36" s="24" t="n">
        <x:f>IF('Setup'!$B$22&gt;0,"",INT(MIN(L36,M36)))</x:f>
        <x:v>8372</x:v>
      </x:c>
      <x:c r="O36" s="25" t="n">
        <x:f>IF('Setup'!$B$22&gt;0,"",(D36+E36)*I36*'Processes'!E6*'Processes'!J6)</x:f>
        <x:v>4945.92</x:v>
      </x:c>
      <x:c r="P36" s="25" t="n">
        <x:f>IF('Setup'!$B$22&gt;0,"",(D36+E36)*I36*V36*'Processes'!J6*'Processes'!K6)</x:f>
        <x:v>0</x:v>
      </x:c>
      <x:c r="Q36" s="25" t="n">
        <x:f>IF('Setup'!$B$22&gt;0,"",Z36-AA36)</x:f>
        <x:v>706.5599999999995</x:v>
      </x:c>
      <x:c r="R36" s="22" t="n">
        <x:f>IF('Setup'!$B$22&gt;0,"",D36+E36)</x:f>
        <x:v>28</x:v>
      </x:c>
      <x:c r="S36" s="22" t="n">
        <x:f>IF('Setup'!$B$22&gt;0,"",'Processes'!M6)</x:f>
        <x:v>32</x:v>
      </x:c>
      <x:c r="T36" s="22" t="n">
        <x:f>IF('Setup'!$B$22&gt;0,"",MAX(0,R36-S36))</x:f>
        <x:v>0</x:v>
      </x:c>
      <x:c r="U36" s="22" t="n">
        <x:f>IF('Setup'!$B$22&gt;0,"",'Staffing'!F16)</x:f>
        <x:v>0</x:v>
      </x:c>
      <x:c r="V36" s="22" t="n">
        <x:f>IF('Setup'!$B$22&gt;0,"",MIN(U36,'Processes'!I6))</x:f>
        <x:v>0</x:v>
      </x:c>
      <x:c r="W36" s="22" t="n">
        <x:f>IF('Setup'!$B$22&gt;0,"",MAX(0,U36-V36))</x:f>
        <x:v>0</x:v>
      </x:c>
      <x:c r="X36" s="22" t="n">
        <x:f>IF('Setup'!$B$22&gt;0,"",I36*('Processes'!F6+V36*'Processes'!H6)*'Processes'!C6*'Setup'!D17/'Processes'!B6)</x:f>
        <x:v>299</x:v>
      </x:c>
      <x:c r="Y36" s="22" t="n">
        <x:f>IF('Setup'!$B$22&gt;0,"",H36*F36)</x:f>
        <x:v>4</x:v>
      </x:c>
      <x:c r="Z36" s="25" t="n">
        <x:f>IF('Setup'!$B$22&gt;0,"",O36+P36)</x:f>
        <x:v>4945.92</x:v>
      </x:c>
      <x:c r="AA36" s="25" t="n">
        <x:f>IF('Setup'!$B$22&gt;0,"",'Processes'!D6*I36*'Processes'!E6*'Processes'!J6)</x:f>
        <x:v>4239.360000000001</x:v>
      </x:c>
    </x:row>
    <x:row r="37" ht="23" customHeight="1">
      <x:c r="A37" s="1" t="str">
        <x:v>Base</x:v>
      </x:c>
      <x:c r="B37" s="1" t="n">
        <x:v>11</x:v>
      </x:c>
      <x:c r="C37" s="1" t="str">
        <x:f>'Processes'!A7</x:f>
        <x:v>Pack</x:v>
      </x:c>
      <x:c r="D37" s="22" t="n">
        <x:f>IF('Setup'!$B$22&gt;0,"",'Staffing'!D16)</x:f>
        <x:v>18</x:v>
      </x:c>
      <x:c r="E37" s="22" t="n">
        <x:f>IF('Setup'!$B$22&gt;0,"",IF(B37&gt;='Processes'!N7,'Processes'!O7,0))</x:f>
        <x:v>4</x:v>
      </x:c>
      <x:c r="F37" s="23" t="n">
        <x:f>IF('Setup'!$B$22&gt;0,"",IF(E37=0,0,INDEX('Setup'!$B$9:$B$13,MIN(5,B37-'Processes'!N7+1))))</x:f>
        <x:v>1</x:v>
      </x:c>
      <x:c r="G37" s="22" t="n">
        <x:f>IF('Setup'!$B$22&gt;0,"",MIN(D37,'Processes'!M7))</x:f>
        <x:v>18</x:v>
      </x:c>
      <x:c r="H37" s="22" t="n">
        <x:f>IF('Setup'!$B$22&gt;0,"",MIN(E37,MAX(0,'Processes'!M7-G37)))</x:f>
        <x:v>4</x:v>
      </x:c>
      <x:c r="I37" s="23" t="n">
        <x:f>IF('Setup'!$B$22&gt;0,"",1-'Processes'!G7-'Setup'!C17)</x:f>
        <x:v>0.92</x:v>
      </x:c>
      <x:c r="J37" s="22" t="n">
        <x:f>IF('Setup'!$B$22&gt;0,"",(G37+H37*F37)*I37*'Processes'!F7)</x:f>
        <x:v>131.56</x:v>
      </x:c>
      <x:c r="K37" s="22" t="n">
        <x:f>IF('Setup'!$B$22&gt;0,"",(G37+H37*F37)*I37*V37*'Processes'!H7)</x:f>
        <x:v>0</x:v>
      </x:c>
      <x:c r="L37" s="22" t="n">
        <x:f>IF('Setup'!$B$22&gt;0,"",(J37+K37)*'Processes'!C7*'Setup'!D17/'Processes'!B7)</x:f>
        <x:v>7893.6</x:v>
      </x:c>
      <x:c r="M37" s="22" t="n">
        <x:f>IF('Setup'!$B$22&gt;0,"",'Processes'!L7*'Setup'!E17)</x:f>
        <x:v>9000</x:v>
      </x:c>
      <x:c r="N37" s="24" t="n">
        <x:f>IF('Setup'!$B$22&gt;0,"",INT(MIN(L37,M37)))</x:f>
        <x:v>7893</x:v>
      </x:c>
      <x:c r="O37" s="25" t="n">
        <x:f>IF('Setup'!$B$22&gt;0,"",(D37+E37)*I37*'Processes'!E7*'Processes'!J7)</x:f>
        <x:v>3886.0800000000004</x:v>
      </x:c>
      <x:c r="P37" s="25" t="n">
        <x:f>IF('Setup'!$B$22&gt;0,"",(D37+E37)*I37*V37*'Processes'!J7*'Processes'!K7)</x:f>
        <x:v>0</x:v>
      </x:c>
      <x:c r="Q37" s="25" t="n">
        <x:f>IF('Setup'!$B$22&gt;0,"",Z37-AA37)</x:f>
        <x:v>706.56</x:v>
      </x:c>
      <x:c r="R37" s="22" t="n">
        <x:f>IF('Setup'!$B$22&gt;0,"",D37+E37)</x:f>
        <x:v>22</x:v>
      </x:c>
      <x:c r="S37" s="22" t="n">
        <x:f>IF('Setup'!$B$22&gt;0,"",'Processes'!M7)</x:f>
        <x:v>26</x:v>
      </x:c>
      <x:c r="T37" s="22" t="n">
        <x:f>IF('Setup'!$B$22&gt;0,"",MAX(0,R37-S37))</x:f>
        <x:v>0</x:v>
      </x:c>
      <x:c r="U37" s="22" t="n">
        <x:f>IF('Setup'!$B$22&gt;0,"",'Staffing'!G16)</x:f>
        <x:v>0</x:v>
      </x:c>
      <x:c r="V37" s="22" t="n">
        <x:f>IF('Setup'!$B$22&gt;0,"",MIN(U37,'Processes'!I7))</x:f>
        <x:v>0</x:v>
      </x:c>
      <x:c r="W37" s="22" t="n">
        <x:f>IF('Setup'!$B$22&gt;0,"",MAX(0,U37-V37))</x:f>
        <x:v>0</x:v>
      </x:c>
      <x:c r="X37" s="22" t="n">
        <x:f>IF('Setup'!$B$22&gt;0,"",I37*('Processes'!F7+V37*'Processes'!H7)*'Processes'!C7*'Setup'!D17/'Processes'!B7)</x:f>
        <x:v>358.8</x:v>
      </x:c>
      <x:c r="Y37" s="22" t="n">
        <x:f>IF('Setup'!$B$22&gt;0,"",H37*F37)</x:f>
        <x:v>4</x:v>
      </x:c>
      <x:c r="Z37" s="25" t="n">
        <x:f>IF('Setup'!$B$22&gt;0,"",O37+P37)</x:f>
        <x:v>3886.0800000000004</x:v>
      </x:c>
      <x:c r="AA37" s="25" t="n">
        <x:f>IF('Setup'!$B$22&gt;0,"",'Processes'!D7*I37*'Processes'!E7*'Processes'!J7)</x:f>
        <x:v>3179.5200000000004</x:v>
      </x:c>
    </x:row>
    <x:row r="38" ht="23" customHeight="1">
      <x:c r="A38" s="1" t="str">
        <x:v>Base</x:v>
      </x:c>
      <x:c r="B38" s="1" t="n">
        <x:v>11</x:v>
      </x:c>
      <x:c r="C38" s="1" t="str">
        <x:f>'Processes'!A8</x:f>
        <x:v>Ship</x:v>
      </x:c>
      <x:c r="D38" s="22" t="n">
        <x:f>IF('Setup'!$B$22&gt;0,"",'Staffing'!E16)</x:f>
        <x:v>10</x:v>
      </x:c>
      <x:c r="E38" s="22" t="n">
        <x:f>IF('Setup'!$B$22&gt;0,"",IF(B38&gt;='Processes'!N8,'Processes'!O8,0))</x:f>
        <x:v>3</x:v>
      </x:c>
      <x:c r="F38" s="23" t="n">
        <x:f>IF('Setup'!$B$22&gt;0,"",IF(E38=0,0,INDEX('Setup'!$B$9:$B$13,MIN(5,B38-'Processes'!N8+1))))</x:f>
        <x:v>1</x:v>
      </x:c>
      <x:c r="G38" s="22" t="n">
        <x:f>IF('Setup'!$B$22&gt;0,"",MIN(D38,'Processes'!M8))</x:f>
        <x:v>10</x:v>
      </x:c>
      <x:c r="H38" s="22" t="n">
        <x:f>IF('Setup'!$B$22&gt;0,"",MIN(E38,MAX(0,'Processes'!M8-G38)))</x:f>
        <x:v>3</x:v>
      </x:c>
      <x:c r="I38" s="23" t="n">
        <x:f>IF('Setup'!$B$22&gt;0,"",1-'Processes'!G8-'Setup'!C17)</x:f>
        <x:v>0.92</x:v>
      </x:c>
      <x:c r="J38" s="22" t="n">
        <x:f>IF('Setup'!$B$22&gt;0,"",(G38+H38*F38)*I38*'Processes'!F8)</x:f>
        <x:v>77.74000000000001</x:v>
      </x:c>
      <x:c r="K38" s="22" t="n">
        <x:f>IF('Setup'!$B$22&gt;0,"",(G38+H38*F38)*I38*V38*'Processes'!H8)</x:f>
        <x:v>0</x:v>
      </x:c>
      <x:c r="L38" s="22" t="n">
        <x:f>IF('Setup'!$B$22&gt;0,"",(J38+K38)*'Processes'!C8*'Setup'!D17/'Processes'!B8)</x:f>
        <x:v>7774.000000000001</x:v>
      </x:c>
      <x:c r="M38" s="22" t="n">
        <x:f>IF('Setup'!$B$22&gt;0,"",'Processes'!L8*'Setup'!E17)</x:f>
        <x:v>8000</x:v>
      </x:c>
      <x:c r="N38" s="24" t="n">
        <x:f>IF('Setup'!$B$22&gt;0,"",INT(MIN(L38,M38)))</x:f>
        <x:v>7774</x:v>
      </x:c>
      <x:c r="O38" s="25" t="n">
        <x:f>IF('Setup'!$B$22&gt;0,"",(D38+E38)*I38*'Processes'!E8*'Processes'!J8)</x:f>
        <x:v>2487.6800000000003</x:v>
      </x:c>
      <x:c r="P38" s="25" t="n">
        <x:f>IF('Setup'!$B$22&gt;0,"",(D38+E38)*I38*V38*'Processes'!J8*'Processes'!K8)</x:f>
        <x:v>0</x:v>
      </x:c>
      <x:c r="Q38" s="25" t="n">
        <x:f>IF('Setup'!$B$22&gt;0,"",Z38-AA38)</x:f>
        <x:v>574.0800000000002</x:v>
      </x:c>
      <x:c r="R38" s="22" t="n">
        <x:f>IF('Setup'!$B$22&gt;0,"",D38+E38)</x:f>
        <x:v>13</x:v>
      </x:c>
      <x:c r="S38" s="22" t="n">
        <x:f>IF('Setup'!$B$22&gt;0,"",'Processes'!M8)</x:f>
        <x:v>16</x:v>
      </x:c>
      <x:c r="T38" s="22" t="n">
        <x:f>IF('Setup'!$B$22&gt;0,"",MAX(0,R38-S38))</x:f>
        <x:v>0</x:v>
      </x:c>
      <x:c r="U38" s="22" t="n">
        <x:f>IF('Setup'!$B$22&gt;0,"",'Staffing'!H16)</x:f>
        <x:v>0</x:v>
      </x:c>
      <x:c r="V38" s="22" t="n">
        <x:f>IF('Setup'!$B$22&gt;0,"",MIN(U38,'Processes'!I8))</x:f>
        <x:v>0</x:v>
      </x:c>
      <x:c r="W38" s="22" t="n">
        <x:f>IF('Setup'!$B$22&gt;0,"",MAX(0,U38-V38))</x:f>
        <x:v>0</x:v>
      </x:c>
      <x:c r="X38" s="22" t="n">
        <x:f>IF('Setup'!$B$22&gt;0,"",I38*('Processes'!F8+V38*'Processes'!H8)*'Processes'!C8*'Setup'!D17/'Processes'!B8)</x:f>
        <x:v>598</x:v>
      </x:c>
      <x:c r="Y38" s="22" t="n">
        <x:f>IF('Setup'!$B$22&gt;0,"",H38*F38)</x:f>
        <x:v>3</x:v>
      </x:c>
      <x:c r="Z38" s="25" t="n">
        <x:f>IF('Setup'!$B$22&gt;0,"",O38+P38)</x:f>
        <x:v>2487.6800000000003</x:v>
      </x:c>
      <x:c r="AA38" s="25" t="n">
        <x:f>IF('Setup'!$B$22&gt;0,"",'Processes'!D8*I38*'Processes'!E8*'Processes'!J8)</x:f>
        <x:v>1913.6000000000001</x:v>
      </x:c>
    </x:row>
    <x:row r="39" ht="23" customHeight="1">
      <x:c r="A39" s="1" t="str">
        <x:v>Base</x:v>
      </x:c>
      <x:c r="B39" s="1" t="n">
        <x:v>12</x:v>
      </x:c>
      <x:c r="C39" s="1" t="str">
        <x:f>'Processes'!A6</x:f>
        <x:v>Pick</x:v>
      </x:c>
      <x:c r="D39" s="22" t="n">
        <x:f>IF('Setup'!$B$22&gt;0,"",'Staffing'!C17)</x:f>
        <x:v>24</x:v>
      </x:c>
      <x:c r="E39" s="22" t="n">
        <x:f>IF('Setup'!$B$22&gt;0,"",IF(B39&gt;='Processes'!N6,'Processes'!O6,0))</x:f>
        <x:v>4</x:v>
      </x:c>
      <x:c r="F39" s="23" t="n">
        <x:f>IF('Setup'!$B$22&gt;0,"",IF(E39=0,0,INDEX('Setup'!$B$9:$B$13,MIN(5,B39-'Processes'!N6+1))))</x:f>
        <x:v>1</x:v>
      </x:c>
      <x:c r="G39" s="22" t="n">
        <x:f>IF('Setup'!$B$22&gt;0,"",MIN(D39,'Processes'!M6))</x:f>
        <x:v>24</x:v>
      </x:c>
      <x:c r="H39" s="22" t="n">
        <x:f>IF('Setup'!$B$22&gt;0,"",MIN(E39,MAX(0,'Processes'!M6-G39)))</x:f>
        <x:v>4</x:v>
      </x:c>
      <x:c r="I39" s="23" t="n">
        <x:f>IF('Setup'!$B$22&gt;0,"",1-'Processes'!G6-'Setup'!C17)</x:f>
        <x:v>0.92</x:v>
      </x:c>
      <x:c r="J39" s="22" t="n">
        <x:f>IF('Setup'!$B$22&gt;0,"",(G39+H39*F39)*I39*'Processes'!F6)</x:f>
        <x:v>167.44</x:v>
      </x:c>
      <x:c r="K39" s="22" t="n">
        <x:f>IF('Setup'!$B$22&gt;0,"",(G39+H39*F39)*I39*V39*'Processes'!H6)</x:f>
        <x:v>0</x:v>
      </x:c>
      <x:c r="L39" s="22" t="n">
        <x:f>IF('Setup'!$B$22&gt;0,"",(J39+K39)*'Processes'!C6*'Setup'!D17/'Processes'!B6)</x:f>
        <x:v>8372</x:v>
      </x:c>
      <x:c r="M39" s="22" t="n">
        <x:f>IF('Setup'!$B$22&gt;0,"",'Processes'!L6*'Setup'!E17)</x:f>
        <x:v>10000</x:v>
      </x:c>
      <x:c r="N39" s="24" t="n">
        <x:f>IF('Setup'!$B$22&gt;0,"",INT(MIN(L39,M39)))</x:f>
        <x:v>8372</x:v>
      </x:c>
      <x:c r="O39" s="25" t="n">
        <x:f>IF('Setup'!$B$22&gt;0,"",(D39+E39)*I39*'Processes'!E6*'Processes'!J6)</x:f>
        <x:v>4945.92</x:v>
      </x:c>
      <x:c r="P39" s="25" t="n">
        <x:f>IF('Setup'!$B$22&gt;0,"",(D39+E39)*I39*V39*'Processes'!J6*'Processes'!K6)</x:f>
        <x:v>0</x:v>
      </x:c>
      <x:c r="Q39" s="25" t="n">
        <x:f>IF('Setup'!$B$22&gt;0,"",Z39-AA39)</x:f>
        <x:v>706.5599999999995</x:v>
      </x:c>
      <x:c r="R39" s="22" t="n">
        <x:f>IF('Setup'!$B$22&gt;0,"",D39+E39)</x:f>
        <x:v>28</x:v>
      </x:c>
      <x:c r="S39" s="22" t="n">
        <x:f>IF('Setup'!$B$22&gt;0,"",'Processes'!M6)</x:f>
        <x:v>32</x:v>
      </x:c>
      <x:c r="T39" s="22" t="n">
        <x:f>IF('Setup'!$B$22&gt;0,"",MAX(0,R39-S39))</x:f>
        <x:v>0</x:v>
      </x:c>
      <x:c r="U39" s="22" t="n">
        <x:f>IF('Setup'!$B$22&gt;0,"",'Staffing'!F17)</x:f>
        <x:v>0</x:v>
      </x:c>
      <x:c r="V39" s="22" t="n">
        <x:f>IF('Setup'!$B$22&gt;0,"",MIN(U39,'Processes'!I6))</x:f>
        <x:v>0</x:v>
      </x:c>
      <x:c r="W39" s="22" t="n">
        <x:f>IF('Setup'!$B$22&gt;0,"",MAX(0,U39-V39))</x:f>
        <x:v>0</x:v>
      </x:c>
      <x:c r="X39" s="22" t="n">
        <x:f>IF('Setup'!$B$22&gt;0,"",I39*('Processes'!F6+V39*'Processes'!H6)*'Processes'!C6*'Setup'!D17/'Processes'!B6)</x:f>
        <x:v>299</x:v>
      </x:c>
      <x:c r="Y39" s="22" t="n">
        <x:f>IF('Setup'!$B$22&gt;0,"",H39*F39)</x:f>
        <x:v>4</x:v>
      </x:c>
      <x:c r="Z39" s="25" t="n">
        <x:f>IF('Setup'!$B$22&gt;0,"",O39+P39)</x:f>
        <x:v>4945.92</x:v>
      </x:c>
      <x:c r="AA39" s="25" t="n">
        <x:f>IF('Setup'!$B$22&gt;0,"",'Processes'!D6*I39*'Processes'!E6*'Processes'!J6)</x:f>
        <x:v>4239.360000000001</x:v>
      </x:c>
    </x:row>
    <x:row r="40" ht="23" customHeight="1">
      <x:c r="A40" s="1" t="str">
        <x:v>Base</x:v>
      </x:c>
      <x:c r="B40" s="1" t="n">
        <x:v>12</x:v>
      </x:c>
      <x:c r="C40" s="1" t="str">
        <x:f>'Processes'!A7</x:f>
        <x:v>Pack</x:v>
      </x:c>
      <x:c r="D40" s="22" t="n">
        <x:f>IF('Setup'!$B$22&gt;0,"",'Staffing'!D17)</x:f>
        <x:v>18</x:v>
      </x:c>
      <x:c r="E40" s="22" t="n">
        <x:f>IF('Setup'!$B$22&gt;0,"",IF(B40&gt;='Processes'!N7,'Processes'!O7,0))</x:f>
        <x:v>4</x:v>
      </x:c>
      <x:c r="F40" s="23" t="n">
        <x:f>IF('Setup'!$B$22&gt;0,"",IF(E40=0,0,INDEX('Setup'!$B$9:$B$13,MIN(5,B40-'Processes'!N7+1))))</x:f>
        <x:v>1</x:v>
      </x:c>
      <x:c r="G40" s="22" t="n">
        <x:f>IF('Setup'!$B$22&gt;0,"",MIN(D40,'Processes'!M7))</x:f>
        <x:v>18</x:v>
      </x:c>
      <x:c r="H40" s="22" t="n">
        <x:f>IF('Setup'!$B$22&gt;0,"",MIN(E40,MAX(0,'Processes'!M7-G40)))</x:f>
        <x:v>4</x:v>
      </x:c>
      <x:c r="I40" s="23" t="n">
        <x:f>IF('Setup'!$B$22&gt;0,"",1-'Processes'!G7-'Setup'!C17)</x:f>
        <x:v>0.92</x:v>
      </x:c>
      <x:c r="J40" s="22" t="n">
        <x:f>IF('Setup'!$B$22&gt;0,"",(G40+H40*F40)*I40*'Processes'!F7)</x:f>
        <x:v>131.56</x:v>
      </x:c>
      <x:c r="K40" s="22" t="n">
        <x:f>IF('Setup'!$B$22&gt;0,"",(G40+H40*F40)*I40*V40*'Processes'!H7)</x:f>
        <x:v>0</x:v>
      </x:c>
      <x:c r="L40" s="22" t="n">
        <x:f>IF('Setup'!$B$22&gt;0,"",(J40+K40)*'Processes'!C7*'Setup'!D17/'Processes'!B7)</x:f>
        <x:v>7893.6</x:v>
      </x:c>
      <x:c r="M40" s="22" t="n">
        <x:f>IF('Setup'!$B$22&gt;0,"",'Processes'!L7*'Setup'!E17)</x:f>
        <x:v>9000</x:v>
      </x:c>
      <x:c r="N40" s="24" t="n">
        <x:f>IF('Setup'!$B$22&gt;0,"",INT(MIN(L40,M40)))</x:f>
        <x:v>7893</x:v>
      </x:c>
      <x:c r="O40" s="25" t="n">
        <x:f>IF('Setup'!$B$22&gt;0,"",(D40+E40)*I40*'Processes'!E7*'Processes'!J7)</x:f>
        <x:v>3886.0800000000004</x:v>
      </x:c>
      <x:c r="P40" s="25" t="n">
        <x:f>IF('Setup'!$B$22&gt;0,"",(D40+E40)*I40*V40*'Processes'!J7*'Processes'!K7)</x:f>
        <x:v>0</x:v>
      </x:c>
      <x:c r="Q40" s="25" t="n">
        <x:f>IF('Setup'!$B$22&gt;0,"",Z40-AA40)</x:f>
        <x:v>706.56</x:v>
      </x:c>
      <x:c r="R40" s="22" t="n">
        <x:f>IF('Setup'!$B$22&gt;0,"",D40+E40)</x:f>
        <x:v>22</x:v>
      </x:c>
      <x:c r="S40" s="22" t="n">
        <x:f>IF('Setup'!$B$22&gt;0,"",'Processes'!M7)</x:f>
        <x:v>26</x:v>
      </x:c>
      <x:c r="T40" s="22" t="n">
        <x:f>IF('Setup'!$B$22&gt;0,"",MAX(0,R40-S40))</x:f>
        <x:v>0</x:v>
      </x:c>
      <x:c r="U40" s="22" t="n">
        <x:f>IF('Setup'!$B$22&gt;0,"",'Staffing'!G17)</x:f>
        <x:v>0</x:v>
      </x:c>
      <x:c r="V40" s="22" t="n">
        <x:f>IF('Setup'!$B$22&gt;0,"",MIN(U40,'Processes'!I7))</x:f>
        <x:v>0</x:v>
      </x:c>
      <x:c r="W40" s="22" t="n">
        <x:f>IF('Setup'!$B$22&gt;0,"",MAX(0,U40-V40))</x:f>
        <x:v>0</x:v>
      </x:c>
      <x:c r="X40" s="22" t="n">
        <x:f>IF('Setup'!$B$22&gt;0,"",I40*('Processes'!F7+V40*'Processes'!H7)*'Processes'!C7*'Setup'!D17/'Processes'!B7)</x:f>
        <x:v>358.8</x:v>
      </x:c>
      <x:c r="Y40" s="22" t="n">
        <x:f>IF('Setup'!$B$22&gt;0,"",H40*F40)</x:f>
        <x:v>4</x:v>
      </x:c>
      <x:c r="Z40" s="25" t="n">
        <x:f>IF('Setup'!$B$22&gt;0,"",O40+P40)</x:f>
        <x:v>3886.0800000000004</x:v>
      </x:c>
      <x:c r="AA40" s="25" t="n">
        <x:f>IF('Setup'!$B$22&gt;0,"",'Processes'!D7*I40*'Processes'!E7*'Processes'!J7)</x:f>
        <x:v>3179.5200000000004</x:v>
      </x:c>
    </x:row>
    <x:row r="41" ht="23" customHeight="1">
      <x:c r="A41" s="1" t="str">
        <x:v>Base</x:v>
      </x:c>
      <x:c r="B41" s="1" t="n">
        <x:v>12</x:v>
      </x:c>
      <x:c r="C41" s="1" t="str">
        <x:f>'Processes'!A8</x:f>
        <x:v>Ship</x:v>
      </x:c>
      <x:c r="D41" s="22" t="n">
        <x:f>IF('Setup'!$B$22&gt;0,"",'Staffing'!E17)</x:f>
        <x:v>10</x:v>
      </x:c>
      <x:c r="E41" s="22" t="n">
        <x:f>IF('Setup'!$B$22&gt;0,"",IF(B41&gt;='Processes'!N8,'Processes'!O8,0))</x:f>
        <x:v>3</x:v>
      </x:c>
      <x:c r="F41" s="23" t="n">
        <x:f>IF('Setup'!$B$22&gt;0,"",IF(E41=0,0,INDEX('Setup'!$B$9:$B$13,MIN(5,B41-'Processes'!N8+1))))</x:f>
        <x:v>1</x:v>
      </x:c>
      <x:c r="G41" s="22" t="n">
        <x:f>IF('Setup'!$B$22&gt;0,"",MIN(D41,'Processes'!M8))</x:f>
        <x:v>10</x:v>
      </x:c>
      <x:c r="H41" s="22" t="n">
        <x:f>IF('Setup'!$B$22&gt;0,"",MIN(E41,MAX(0,'Processes'!M8-G41)))</x:f>
        <x:v>3</x:v>
      </x:c>
      <x:c r="I41" s="23" t="n">
        <x:f>IF('Setup'!$B$22&gt;0,"",1-'Processes'!G8-'Setup'!C17)</x:f>
        <x:v>0.92</x:v>
      </x:c>
      <x:c r="J41" s="22" t="n">
        <x:f>IF('Setup'!$B$22&gt;0,"",(G41+H41*F41)*I41*'Processes'!F8)</x:f>
        <x:v>77.74000000000001</x:v>
      </x:c>
      <x:c r="K41" s="22" t="n">
        <x:f>IF('Setup'!$B$22&gt;0,"",(G41+H41*F41)*I41*V41*'Processes'!H8)</x:f>
        <x:v>0</x:v>
      </x:c>
      <x:c r="L41" s="22" t="n">
        <x:f>IF('Setup'!$B$22&gt;0,"",(J41+K41)*'Processes'!C8*'Setup'!D17/'Processes'!B8)</x:f>
        <x:v>7774.000000000001</x:v>
      </x:c>
      <x:c r="M41" s="22" t="n">
        <x:f>IF('Setup'!$B$22&gt;0,"",'Processes'!L8*'Setup'!E17)</x:f>
        <x:v>8000</x:v>
      </x:c>
      <x:c r="N41" s="24" t="n">
        <x:f>IF('Setup'!$B$22&gt;0,"",INT(MIN(L41,M41)))</x:f>
        <x:v>7774</x:v>
      </x:c>
      <x:c r="O41" s="25" t="n">
        <x:f>IF('Setup'!$B$22&gt;0,"",(D41+E41)*I41*'Processes'!E8*'Processes'!J8)</x:f>
        <x:v>2487.6800000000003</x:v>
      </x:c>
      <x:c r="P41" s="25" t="n">
        <x:f>IF('Setup'!$B$22&gt;0,"",(D41+E41)*I41*V41*'Processes'!J8*'Processes'!K8)</x:f>
        <x:v>0</x:v>
      </x:c>
      <x:c r="Q41" s="25" t="n">
        <x:f>IF('Setup'!$B$22&gt;0,"",Z41-AA41)</x:f>
        <x:v>574.0800000000002</x:v>
      </x:c>
      <x:c r="R41" s="22" t="n">
        <x:f>IF('Setup'!$B$22&gt;0,"",D41+E41)</x:f>
        <x:v>13</x:v>
      </x:c>
      <x:c r="S41" s="22" t="n">
        <x:f>IF('Setup'!$B$22&gt;0,"",'Processes'!M8)</x:f>
        <x:v>16</x:v>
      </x:c>
      <x:c r="T41" s="22" t="n">
        <x:f>IF('Setup'!$B$22&gt;0,"",MAX(0,R41-S41))</x:f>
        <x:v>0</x:v>
      </x:c>
      <x:c r="U41" s="22" t="n">
        <x:f>IF('Setup'!$B$22&gt;0,"",'Staffing'!H17)</x:f>
        <x:v>0</x:v>
      </x:c>
      <x:c r="V41" s="22" t="n">
        <x:f>IF('Setup'!$B$22&gt;0,"",MIN(U41,'Processes'!I8))</x:f>
        <x:v>0</x:v>
      </x:c>
      <x:c r="W41" s="22" t="n">
        <x:f>IF('Setup'!$B$22&gt;0,"",MAX(0,U41-V41))</x:f>
        <x:v>0</x:v>
      </x:c>
      <x:c r="X41" s="22" t="n">
        <x:f>IF('Setup'!$B$22&gt;0,"",I41*('Processes'!F8+V41*'Processes'!H8)*'Processes'!C8*'Setup'!D17/'Processes'!B8)</x:f>
        <x:v>598</x:v>
      </x:c>
      <x:c r="Y41" s="22" t="n">
        <x:f>IF('Setup'!$B$22&gt;0,"",H41*F41)</x:f>
        <x:v>3</x:v>
      </x:c>
      <x:c r="Z41" s="25" t="n">
        <x:f>IF('Setup'!$B$22&gt;0,"",O41+P41)</x:f>
        <x:v>2487.6800000000003</x:v>
      </x:c>
      <x:c r="AA41" s="25" t="n">
        <x:f>IF('Setup'!$B$22&gt;0,"",'Processes'!D8*I41*'Processes'!E8*'Processes'!J8)</x:f>
        <x:v>1913.6000000000001</x:v>
      </x:c>
    </x:row>
    <x:row r="42" ht="23" customHeight="1">
      <x:c r="A42" s="1" t="str">
        <x:v>Upside</x:v>
      </x:c>
      <x:c r="B42" s="1" t="n">
        <x:v>1</x:v>
      </x:c>
      <x:c r="C42" s="1" t="str">
        <x:f>'Processes'!A6</x:f>
        <x:v>Pick</x:v>
      </x:c>
      <x:c r="D42" s="22" t="n">
        <x:f>IF('Setup'!$B$22&gt;0,"",'Staffing'!C6)</x:f>
        <x:v>24</x:v>
      </x:c>
      <x:c r="E42" s="22" t="n">
        <x:f>IF('Setup'!$B$22&gt;0,"",IF(B42&gt;='Processes'!N6,'Processes'!O6,0))</x:f>
        <x:v>0</x:v>
      </x:c>
      <x:c r="F42" s="23" t="n">
        <x:f>IF('Setup'!$B$22&gt;0,"",IF(E42=0,0,INDEX('Setup'!$B$9:$B$13,MIN(5,B42-'Processes'!N6+1))))</x:f>
        <x:v>0</x:v>
      </x:c>
      <x:c r="G42" s="22" t="n">
        <x:f>IF('Setup'!$B$22&gt;0,"",MIN(D42,'Processes'!M6))</x:f>
        <x:v>24</x:v>
      </x:c>
      <x:c r="H42" s="22" t="n">
        <x:f>IF('Setup'!$B$22&gt;0,"",MIN(E42,MAX(0,'Processes'!M6-G42)))</x:f>
        <x:v>0</x:v>
      </x:c>
      <x:c r="I42" s="23" t="n">
        <x:f>IF('Setup'!$B$22&gt;0,"",1-'Processes'!G6-'Setup'!C18)</x:f>
        <x:v>0.92</x:v>
      </x:c>
      <x:c r="J42" s="22" t="n">
        <x:f>IF('Setup'!$B$22&gt;0,"",(G42+H42*F42)*I42*'Processes'!F6)</x:f>
        <x:v>143.52</x:v>
      </x:c>
      <x:c r="K42" s="22" t="n">
        <x:f>IF('Setup'!$B$22&gt;0,"",(G42+H42*F42)*I42*V42*'Processes'!H6)</x:f>
        <x:v>0</x:v>
      </x:c>
      <x:c r="L42" s="22" t="n">
        <x:f>IF('Setup'!$B$22&gt;0,"",(J42+K42)*'Processes'!C6*'Setup'!D18/'Processes'!B6)</x:f>
        <x:v>7176.000000000001</x:v>
      </x:c>
      <x:c r="M42" s="22" t="n">
        <x:f>IF('Setup'!$B$22&gt;0,"",'Processes'!L6*'Setup'!E18)</x:f>
        <x:v>10000</x:v>
      </x:c>
      <x:c r="N42" s="24" t="n">
        <x:f>IF('Setup'!$B$22&gt;0,"",INT(MIN(L42,M42)))</x:f>
        <x:v>7176</x:v>
      </x:c>
      <x:c r="O42" s="25" t="n">
        <x:f>IF('Setup'!$B$22&gt;0,"",(D42+E42)*I42*'Processes'!E6*'Processes'!J6)</x:f>
        <x:v>4239.360000000001</x:v>
      </x:c>
      <x:c r="P42" s="25" t="n">
        <x:f>IF('Setup'!$B$22&gt;0,"",(D42+E42)*I42*V42*'Processes'!J6*'Processes'!K6)</x:f>
        <x:v>0</x:v>
      </x:c>
      <x:c r="Q42" s="25" t="n">
        <x:f>IF('Setup'!$B$22&gt;0,"",Z42-AA42)</x:f>
        <x:v>0</x:v>
      </x:c>
      <x:c r="R42" s="22" t="n">
        <x:f>IF('Setup'!$B$22&gt;0,"",D42+E42)</x:f>
        <x:v>24</x:v>
      </x:c>
      <x:c r="S42" s="22" t="n">
        <x:f>IF('Setup'!$B$22&gt;0,"",'Processes'!M6)</x:f>
        <x:v>32</x:v>
      </x:c>
      <x:c r="T42" s="22" t="n">
        <x:f>IF('Setup'!$B$22&gt;0,"",MAX(0,R42-S42))</x:f>
        <x:v>0</x:v>
      </x:c>
      <x:c r="U42" s="22" t="n">
        <x:f>IF('Setup'!$B$22&gt;0,"",'Staffing'!F6)</x:f>
        <x:v>0</x:v>
      </x:c>
      <x:c r="V42" s="22" t="n">
        <x:f>IF('Setup'!$B$22&gt;0,"",MIN(U42,'Processes'!I6))</x:f>
        <x:v>0</x:v>
      </x:c>
      <x:c r="W42" s="22" t="n">
        <x:f>IF('Setup'!$B$22&gt;0,"",MAX(0,U42-V42))</x:f>
        <x:v>0</x:v>
      </x:c>
      <x:c r="X42" s="22" t="n">
        <x:f>IF('Setup'!$B$22&gt;0,"",I42*('Processes'!F6+V42*'Processes'!H6)*'Processes'!C6*'Setup'!D18/'Processes'!B6)</x:f>
        <x:v>299</x:v>
      </x:c>
      <x:c r="Y42" s="22" t="n">
        <x:f>IF('Setup'!$B$22&gt;0,"",H42*F42)</x:f>
        <x:v>0</x:v>
      </x:c>
      <x:c r="Z42" s="25" t="n">
        <x:f>IF('Setup'!$B$22&gt;0,"",O42+P42)</x:f>
        <x:v>4239.360000000001</x:v>
      </x:c>
      <x:c r="AA42" s="25" t="n">
        <x:f>IF('Setup'!$B$22&gt;0,"",'Processes'!D6*I42*'Processes'!E6*'Processes'!J6)</x:f>
        <x:v>4239.360000000001</x:v>
      </x:c>
    </x:row>
    <x:row r="43" ht="23" customHeight="1">
      <x:c r="A43" s="1" t="str">
        <x:v>Upside</x:v>
      </x:c>
      <x:c r="B43" s="1" t="n">
        <x:v>1</x:v>
      </x:c>
      <x:c r="C43" s="1" t="str">
        <x:f>'Processes'!A7</x:f>
        <x:v>Pack</x:v>
      </x:c>
      <x:c r="D43" s="22" t="n">
        <x:f>IF('Setup'!$B$22&gt;0,"",'Staffing'!D6)</x:f>
        <x:v>18</x:v>
      </x:c>
      <x:c r="E43" s="22" t="n">
        <x:f>IF('Setup'!$B$22&gt;0,"",IF(B43&gt;='Processes'!N7,'Processes'!O7,0))</x:f>
        <x:v>0</x:v>
      </x:c>
      <x:c r="F43" s="23" t="n">
        <x:f>IF('Setup'!$B$22&gt;0,"",IF(E43=0,0,INDEX('Setup'!$B$9:$B$13,MIN(5,B43-'Processes'!N7+1))))</x:f>
        <x:v>0</x:v>
      </x:c>
      <x:c r="G43" s="22" t="n">
        <x:f>IF('Setup'!$B$22&gt;0,"",MIN(D43,'Processes'!M7))</x:f>
        <x:v>18</x:v>
      </x:c>
      <x:c r="H43" s="22" t="n">
        <x:f>IF('Setup'!$B$22&gt;0,"",MIN(E43,MAX(0,'Processes'!M7-G43)))</x:f>
        <x:v>0</x:v>
      </x:c>
      <x:c r="I43" s="23" t="n">
        <x:f>IF('Setup'!$B$22&gt;0,"",1-'Processes'!G7-'Setup'!C18)</x:f>
        <x:v>0.92</x:v>
      </x:c>
      <x:c r="J43" s="22" t="n">
        <x:f>IF('Setup'!$B$22&gt;0,"",(G43+H43*F43)*I43*'Processes'!F7)</x:f>
        <x:v>107.64000000000001</x:v>
      </x:c>
      <x:c r="K43" s="22" t="n">
        <x:f>IF('Setup'!$B$22&gt;0,"",(G43+H43*F43)*I43*V43*'Processes'!H7)</x:f>
        <x:v>0</x:v>
      </x:c>
      <x:c r="L43" s="22" t="n">
        <x:f>IF('Setup'!$B$22&gt;0,"",(J43+K43)*'Processes'!C7*'Setup'!D18/'Processes'!B7)</x:f>
        <x:v>6458.400000000001</x:v>
      </x:c>
      <x:c r="M43" s="22" t="n">
        <x:f>IF('Setup'!$B$22&gt;0,"",'Processes'!L7*'Setup'!E18)</x:f>
        <x:v>9000</x:v>
      </x:c>
      <x:c r="N43" s="24" t="n">
        <x:f>IF('Setup'!$B$22&gt;0,"",INT(MIN(L43,M43)))</x:f>
        <x:v>6458</x:v>
      </x:c>
      <x:c r="O43" s="25" t="n">
        <x:f>IF('Setup'!$B$22&gt;0,"",(D43+E43)*I43*'Processes'!E7*'Processes'!J7)</x:f>
        <x:v>3179.5200000000004</x:v>
      </x:c>
      <x:c r="P43" s="25" t="n">
        <x:f>IF('Setup'!$B$22&gt;0,"",(D43+E43)*I43*V43*'Processes'!J7*'Processes'!K7)</x:f>
        <x:v>0</x:v>
      </x:c>
      <x:c r="Q43" s="25" t="n">
        <x:f>IF('Setup'!$B$22&gt;0,"",Z43-AA43)</x:f>
        <x:v>0</x:v>
      </x:c>
      <x:c r="R43" s="22" t="n">
        <x:f>IF('Setup'!$B$22&gt;0,"",D43+E43)</x:f>
        <x:v>18</x:v>
      </x:c>
      <x:c r="S43" s="22" t="n">
        <x:f>IF('Setup'!$B$22&gt;0,"",'Processes'!M7)</x:f>
        <x:v>26</x:v>
      </x:c>
      <x:c r="T43" s="22" t="n">
        <x:f>IF('Setup'!$B$22&gt;0,"",MAX(0,R43-S43))</x:f>
        <x:v>0</x:v>
      </x:c>
      <x:c r="U43" s="22" t="n">
        <x:f>IF('Setup'!$B$22&gt;0,"",'Staffing'!G6)</x:f>
        <x:v>0</x:v>
      </x:c>
      <x:c r="V43" s="22" t="n">
        <x:f>IF('Setup'!$B$22&gt;0,"",MIN(U43,'Processes'!I7))</x:f>
        <x:v>0</x:v>
      </x:c>
      <x:c r="W43" s="22" t="n">
        <x:f>IF('Setup'!$B$22&gt;0,"",MAX(0,U43-V43))</x:f>
        <x:v>0</x:v>
      </x:c>
      <x:c r="X43" s="22" t="n">
        <x:f>IF('Setup'!$B$22&gt;0,"",I43*('Processes'!F7+V43*'Processes'!H7)*'Processes'!C7*'Setup'!D18/'Processes'!B7)</x:f>
        <x:v>358.8</x:v>
      </x:c>
      <x:c r="Y43" s="22" t="n">
        <x:f>IF('Setup'!$B$22&gt;0,"",H43*F43)</x:f>
        <x:v>0</x:v>
      </x:c>
      <x:c r="Z43" s="25" t="n">
        <x:f>IF('Setup'!$B$22&gt;0,"",O43+P43)</x:f>
        <x:v>3179.5200000000004</x:v>
      </x:c>
      <x:c r="AA43" s="25" t="n">
        <x:f>IF('Setup'!$B$22&gt;0,"",'Processes'!D7*I43*'Processes'!E7*'Processes'!J7)</x:f>
        <x:v>3179.5200000000004</x:v>
      </x:c>
    </x:row>
    <x:row r="44" ht="23" customHeight="1">
      <x:c r="A44" s="1" t="str">
        <x:v>Upside</x:v>
      </x:c>
      <x:c r="B44" s="1" t="n">
        <x:v>1</x:v>
      </x:c>
      <x:c r="C44" s="1" t="str">
        <x:f>'Processes'!A8</x:f>
        <x:v>Ship</x:v>
      </x:c>
      <x:c r="D44" s="22" t="n">
        <x:f>IF('Setup'!$B$22&gt;0,"",'Staffing'!E6)</x:f>
        <x:v>10</x:v>
      </x:c>
      <x:c r="E44" s="22" t="n">
        <x:f>IF('Setup'!$B$22&gt;0,"",IF(B44&gt;='Processes'!N8,'Processes'!O8,0))</x:f>
        <x:v>0</x:v>
      </x:c>
      <x:c r="F44" s="23" t="n">
        <x:f>IF('Setup'!$B$22&gt;0,"",IF(E44=0,0,INDEX('Setup'!$B$9:$B$13,MIN(5,B44-'Processes'!N8+1))))</x:f>
        <x:v>0</x:v>
      </x:c>
      <x:c r="G44" s="22" t="n">
        <x:f>IF('Setup'!$B$22&gt;0,"",MIN(D44,'Processes'!M8))</x:f>
        <x:v>10</x:v>
      </x:c>
      <x:c r="H44" s="22" t="n">
        <x:f>IF('Setup'!$B$22&gt;0,"",MIN(E44,MAX(0,'Processes'!M8-G44)))</x:f>
        <x:v>0</x:v>
      </x:c>
      <x:c r="I44" s="23" t="n">
        <x:f>IF('Setup'!$B$22&gt;0,"",1-'Processes'!G8-'Setup'!C18)</x:f>
        <x:v>0.92</x:v>
      </x:c>
      <x:c r="J44" s="22" t="n">
        <x:f>IF('Setup'!$B$22&gt;0,"",(G44+H44*F44)*I44*'Processes'!F8)</x:f>
        <x:v>59.800000000000004</x:v>
      </x:c>
      <x:c r="K44" s="22" t="n">
        <x:f>IF('Setup'!$B$22&gt;0,"",(G44+H44*F44)*I44*V44*'Processes'!H8)</x:f>
        <x:v>0</x:v>
      </x:c>
      <x:c r="L44" s="22" t="n">
        <x:f>IF('Setup'!$B$22&gt;0,"",(J44+K44)*'Processes'!C8*'Setup'!D18/'Processes'!B8)</x:f>
        <x:v>5980</x:v>
      </x:c>
      <x:c r="M44" s="22" t="n">
        <x:f>IF('Setup'!$B$22&gt;0,"",'Processes'!L8*'Setup'!E18)</x:f>
        <x:v>8000</x:v>
      </x:c>
      <x:c r="N44" s="24" t="n">
        <x:f>IF('Setup'!$B$22&gt;0,"",INT(MIN(L44,M44)))</x:f>
        <x:v>5980</x:v>
      </x:c>
      <x:c r="O44" s="25" t="n">
        <x:f>IF('Setup'!$B$22&gt;0,"",(D44+E44)*I44*'Processes'!E8*'Processes'!J8)</x:f>
        <x:v>1913.6000000000001</x:v>
      </x:c>
      <x:c r="P44" s="25" t="n">
        <x:f>IF('Setup'!$B$22&gt;0,"",(D44+E44)*I44*V44*'Processes'!J8*'Processes'!K8)</x:f>
        <x:v>0</x:v>
      </x:c>
      <x:c r="Q44" s="25" t="n">
        <x:f>IF('Setup'!$B$22&gt;0,"",Z44-AA44)</x:f>
        <x:v>0</x:v>
      </x:c>
      <x:c r="R44" s="22" t="n">
        <x:f>IF('Setup'!$B$22&gt;0,"",D44+E44)</x:f>
        <x:v>10</x:v>
      </x:c>
      <x:c r="S44" s="22" t="n">
        <x:f>IF('Setup'!$B$22&gt;0,"",'Processes'!M8)</x:f>
        <x:v>16</x:v>
      </x:c>
      <x:c r="T44" s="22" t="n">
        <x:f>IF('Setup'!$B$22&gt;0,"",MAX(0,R44-S44))</x:f>
        <x:v>0</x:v>
      </x:c>
      <x:c r="U44" s="22" t="n">
        <x:f>IF('Setup'!$B$22&gt;0,"",'Staffing'!H6)</x:f>
        <x:v>0</x:v>
      </x:c>
      <x:c r="V44" s="22" t="n">
        <x:f>IF('Setup'!$B$22&gt;0,"",MIN(U44,'Processes'!I8))</x:f>
        <x:v>0</x:v>
      </x:c>
      <x:c r="W44" s="22" t="n">
        <x:f>IF('Setup'!$B$22&gt;0,"",MAX(0,U44-V44))</x:f>
        <x:v>0</x:v>
      </x:c>
      <x:c r="X44" s="22" t="n">
        <x:f>IF('Setup'!$B$22&gt;0,"",I44*('Processes'!F8+V44*'Processes'!H8)*'Processes'!C8*'Setup'!D18/'Processes'!B8)</x:f>
        <x:v>598</x:v>
      </x:c>
      <x:c r="Y44" s="22" t="n">
        <x:f>IF('Setup'!$B$22&gt;0,"",H44*F44)</x:f>
        <x:v>0</x:v>
      </x:c>
      <x:c r="Z44" s="25" t="n">
        <x:f>IF('Setup'!$B$22&gt;0,"",O44+P44)</x:f>
        <x:v>1913.6000000000001</x:v>
      </x:c>
      <x:c r="AA44" s="25" t="n">
        <x:f>IF('Setup'!$B$22&gt;0,"",'Processes'!D8*I44*'Processes'!E8*'Processes'!J8)</x:f>
        <x:v>1913.6000000000001</x:v>
      </x:c>
    </x:row>
    <x:row r="45" ht="23" customHeight="1">
      <x:c r="A45" s="1" t="str">
        <x:v>Upside</x:v>
      </x:c>
      <x:c r="B45" s="1" t="n">
        <x:v>2</x:v>
      </x:c>
      <x:c r="C45" s="1" t="str">
        <x:f>'Processes'!A6</x:f>
        <x:v>Pick</x:v>
      </x:c>
      <x:c r="D45" s="22" t="n">
        <x:f>IF('Setup'!$B$22&gt;0,"",'Staffing'!C7)</x:f>
        <x:v>24</x:v>
      </x:c>
      <x:c r="E45" s="22" t="n">
        <x:f>IF('Setup'!$B$22&gt;0,"",IF(B45&gt;='Processes'!N6,'Processes'!O6,0))</x:f>
        <x:v>0</x:v>
      </x:c>
      <x:c r="F45" s="23" t="n">
        <x:f>IF('Setup'!$B$22&gt;0,"",IF(E45=0,0,INDEX('Setup'!$B$9:$B$13,MIN(5,B45-'Processes'!N6+1))))</x:f>
        <x:v>0</x:v>
      </x:c>
      <x:c r="G45" s="22" t="n">
        <x:f>IF('Setup'!$B$22&gt;0,"",MIN(D45,'Processes'!M6))</x:f>
        <x:v>24</x:v>
      </x:c>
      <x:c r="H45" s="22" t="n">
        <x:f>IF('Setup'!$B$22&gt;0,"",MIN(E45,MAX(0,'Processes'!M6-G45)))</x:f>
        <x:v>0</x:v>
      </x:c>
      <x:c r="I45" s="23" t="n">
        <x:f>IF('Setup'!$B$22&gt;0,"",1-'Processes'!G6-'Setup'!C18)</x:f>
        <x:v>0.92</x:v>
      </x:c>
      <x:c r="J45" s="22" t="n">
        <x:f>IF('Setup'!$B$22&gt;0,"",(G45+H45*F45)*I45*'Processes'!F6)</x:f>
        <x:v>143.52</x:v>
      </x:c>
      <x:c r="K45" s="22" t="n">
        <x:f>IF('Setup'!$B$22&gt;0,"",(G45+H45*F45)*I45*V45*'Processes'!H6)</x:f>
        <x:v>0</x:v>
      </x:c>
      <x:c r="L45" s="22" t="n">
        <x:f>IF('Setup'!$B$22&gt;0,"",(J45+K45)*'Processes'!C6*'Setup'!D18/'Processes'!B6)</x:f>
        <x:v>7176.000000000001</x:v>
      </x:c>
      <x:c r="M45" s="22" t="n">
        <x:f>IF('Setup'!$B$22&gt;0,"",'Processes'!L6*'Setup'!E18)</x:f>
        <x:v>10000</x:v>
      </x:c>
      <x:c r="N45" s="24" t="n">
        <x:f>IF('Setup'!$B$22&gt;0,"",INT(MIN(L45,M45)))</x:f>
        <x:v>7176</x:v>
      </x:c>
      <x:c r="O45" s="25" t="n">
        <x:f>IF('Setup'!$B$22&gt;0,"",(D45+E45)*I45*'Processes'!E6*'Processes'!J6)</x:f>
        <x:v>4239.360000000001</x:v>
      </x:c>
      <x:c r="P45" s="25" t="n">
        <x:f>IF('Setup'!$B$22&gt;0,"",(D45+E45)*I45*V45*'Processes'!J6*'Processes'!K6)</x:f>
        <x:v>0</x:v>
      </x:c>
      <x:c r="Q45" s="25" t="n">
        <x:f>IF('Setup'!$B$22&gt;0,"",Z45-AA45)</x:f>
        <x:v>0</x:v>
      </x:c>
      <x:c r="R45" s="22" t="n">
        <x:f>IF('Setup'!$B$22&gt;0,"",D45+E45)</x:f>
        <x:v>24</x:v>
      </x:c>
      <x:c r="S45" s="22" t="n">
        <x:f>IF('Setup'!$B$22&gt;0,"",'Processes'!M6)</x:f>
        <x:v>32</x:v>
      </x:c>
      <x:c r="T45" s="22" t="n">
        <x:f>IF('Setup'!$B$22&gt;0,"",MAX(0,R45-S45))</x:f>
        <x:v>0</x:v>
      </x:c>
      <x:c r="U45" s="22" t="n">
        <x:f>IF('Setup'!$B$22&gt;0,"",'Staffing'!F7)</x:f>
        <x:v>0</x:v>
      </x:c>
      <x:c r="V45" s="22" t="n">
        <x:f>IF('Setup'!$B$22&gt;0,"",MIN(U45,'Processes'!I6))</x:f>
        <x:v>0</x:v>
      </x:c>
      <x:c r="W45" s="22" t="n">
        <x:f>IF('Setup'!$B$22&gt;0,"",MAX(0,U45-V45))</x:f>
        <x:v>0</x:v>
      </x:c>
      <x:c r="X45" s="22" t="n">
        <x:f>IF('Setup'!$B$22&gt;0,"",I45*('Processes'!F6+V45*'Processes'!H6)*'Processes'!C6*'Setup'!D18/'Processes'!B6)</x:f>
        <x:v>299</x:v>
      </x:c>
      <x:c r="Y45" s="22" t="n">
        <x:f>IF('Setup'!$B$22&gt;0,"",H45*F45)</x:f>
        <x:v>0</x:v>
      </x:c>
      <x:c r="Z45" s="25" t="n">
        <x:f>IF('Setup'!$B$22&gt;0,"",O45+P45)</x:f>
        <x:v>4239.360000000001</x:v>
      </x:c>
      <x:c r="AA45" s="25" t="n">
        <x:f>IF('Setup'!$B$22&gt;0,"",'Processes'!D6*I45*'Processes'!E6*'Processes'!J6)</x:f>
        <x:v>4239.360000000001</x:v>
      </x:c>
    </x:row>
    <x:row r="46" ht="23" customHeight="1">
      <x:c r="A46" s="1" t="str">
        <x:v>Upside</x:v>
      </x:c>
      <x:c r="B46" s="1" t="n">
        <x:v>2</x:v>
      </x:c>
      <x:c r="C46" s="1" t="str">
        <x:f>'Processes'!A7</x:f>
        <x:v>Pack</x:v>
      </x:c>
      <x:c r="D46" s="22" t="n">
        <x:f>IF('Setup'!$B$22&gt;0,"",'Staffing'!D7)</x:f>
        <x:v>18</x:v>
      </x:c>
      <x:c r="E46" s="22" t="n">
        <x:f>IF('Setup'!$B$22&gt;0,"",IF(B46&gt;='Processes'!N7,'Processes'!O7,0))</x:f>
        <x:v>0</x:v>
      </x:c>
      <x:c r="F46" s="23" t="n">
        <x:f>IF('Setup'!$B$22&gt;0,"",IF(E46=0,0,INDEX('Setup'!$B$9:$B$13,MIN(5,B46-'Processes'!N7+1))))</x:f>
        <x:v>0</x:v>
      </x:c>
      <x:c r="G46" s="22" t="n">
        <x:f>IF('Setup'!$B$22&gt;0,"",MIN(D46,'Processes'!M7))</x:f>
        <x:v>18</x:v>
      </x:c>
      <x:c r="H46" s="22" t="n">
        <x:f>IF('Setup'!$B$22&gt;0,"",MIN(E46,MAX(0,'Processes'!M7-G46)))</x:f>
        <x:v>0</x:v>
      </x:c>
      <x:c r="I46" s="23" t="n">
        <x:f>IF('Setup'!$B$22&gt;0,"",1-'Processes'!G7-'Setup'!C18)</x:f>
        <x:v>0.92</x:v>
      </x:c>
      <x:c r="J46" s="22" t="n">
        <x:f>IF('Setup'!$B$22&gt;0,"",(G46+H46*F46)*I46*'Processes'!F7)</x:f>
        <x:v>107.64000000000001</x:v>
      </x:c>
      <x:c r="K46" s="22" t="n">
        <x:f>IF('Setup'!$B$22&gt;0,"",(G46+H46*F46)*I46*V46*'Processes'!H7)</x:f>
        <x:v>0</x:v>
      </x:c>
      <x:c r="L46" s="22" t="n">
        <x:f>IF('Setup'!$B$22&gt;0,"",(J46+K46)*'Processes'!C7*'Setup'!D18/'Processes'!B7)</x:f>
        <x:v>6458.400000000001</x:v>
      </x:c>
      <x:c r="M46" s="22" t="n">
        <x:f>IF('Setup'!$B$22&gt;0,"",'Processes'!L7*'Setup'!E18)</x:f>
        <x:v>9000</x:v>
      </x:c>
      <x:c r="N46" s="24" t="n">
        <x:f>IF('Setup'!$B$22&gt;0,"",INT(MIN(L46,M46)))</x:f>
        <x:v>6458</x:v>
      </x:c>
      <x:c r="O46" s="25" t="n">
        <x:f>IF('Setup'!$B$22&gt;0,"",(D46+E46)*I46*'Processes'!E7*'Processes'!J7)</x:f>
        <x:v>3179.5200000000004</x:v>
      </x:c>
      <x:c r="P46" s="25" t="n">
        <x:f>IF('Setup'!$B$22&gt;0,"",(D46+E46)*I46*V46*'Processes'!J7*'Processes'!K7)</x:f>
        <x:v>0</x:v>
      </x:c>
      <x:c r="Q46" s="25" t="n">
        <x:f>IF('Setup'!$B$22&gt;0,"",Z46-AA46)</x:f>
        <x:v>0</x:v>
      </x:c>
      <x:c r="R46" s="22" t="n">
        <x:f>IF('Setup'!$B$22&gt;0,"",D46+E46)</x:f>
        <x:v>18</x:v>
      </x:c>
      <x:c r="S46" s="22" t="n">
        <x:f>IF('Setup'!$B$22&gt;0,"",'Processes'!M7)</x:f>
        <x:v>26</x:v>
      </x:c>
      <x:c r="T46" s="22" t="n">
        <x:f>IF('Setup'!$B$22&gt;0,"",MAX(0,R46-S46))</x:f>
        <x:v>0</x:v>
      </x:c>
      <x:c r="U46" s="22" t="n">
        <x:f>IF('Setup'!$B$22&gt;0,"",'Staffing'!G7)</x:f>
        <x:v>0</x:v>
      </x:c>
      <x:c r="V46" s="22" t="n">
        <x:f>IF('Setup'!$B$22&gt;0,"",MIN(U46,'Processes'!I7))</x:f>
        <x:v>0</x:v>
      </x:c>
      <x:c r="W46" s="22" t="n">
        <x:f>IF('Setup'!$B$22&gt;0,"",MAX(0,U46-V46))</x:f>
        <x:v>0</x:v>
      </x:c>
      <x:c r="X46" s="22" t="n">
        <x:f>IF('Setup'!$B$22&gt;0,"",I46*('Processes'!F7+V46*'Processes'!H7)*'Processes'!C7*'Setup'!D18/'Processes'!B7)</x:f>
        <x:v>358.8</x:v>
      </x:c>
      <x:c r="Y46" s="22" t="n">
        <x:f>IF('Setup'!$B$22&gt;0,"",H46*F46)</x:f>
        <x:v>0</x:v>
      </x:c>
      <x:c r="Z46" s="25" t="n">
        <x:f>IF('Setup'!$B$22&gt;0,"",O46+P46)</x:f>
        <x:v>3179.5200000000004</x:v>
      </x:c>
      <x:c r="AA46" s="25" t="n">
        <x:f>IF('Setup'!$B$22&gt;0,"",'Processes'!D7*I46*'Processes'!E7*'Processes'!J7)</x:f>
        <x:v>3179.5200000000004</x:v>
      </x:c>
    </x:row>
    <x:row r="47" ht="23" customHeight="1">
      <x:c r="A47" s="1" t="str">
        <x:v>Upside</x:v>
      </x:c>
      <x:c r="B47" s="1" t="n">
        <x:v>2</x:v>
      </x:c>
      <x:c r="C47" s="1" t="str">
        <x:f>'Processes'!A8</x:f>
        <x:v>Ship</x:v>
      </x:c>
      <x:c r="D47" s="22" t="n">
        <x:f>IF('Setup'!$B$22&gt;0,"",'Staffing'!E7)</x:f>
        <x:v>10</x:v>
      </x:c>
      <x:c r="E47" s="22" t="n">
        <x:f>IF('Setup'!$B$22&gt;0,"",IF(B47&gt;='Processes'!N8,'Processes'!O8,0))</x:f>
        <x:v>0</x:v>
      </x:c>
      <x:c r="F47" s="23" t="n">
        <x:f>IF('Setup'!$B$22&gt;0,"",IF(E47=0,0,INDEX('Setup'!$B$9:$B$13,MIN(5,B47-'Processes'!N8+1))))</x:f>
        <x:v>0</x:v>
      </x:c>
      <x:c r="G47" s="22" t="n">
        <x:f>IF('Setup'!$B$22&gt;0,"",MIN(D47,'Processes'!M8))</x:f>
        <x:v>10</x:v>
      </x:c>
      <x:c r="H47" s="22" t="n">
        <x:f>IF('Setup'!$B$22&gt;0,"",MIN(E47,MAX(0,'Processes'!M8-G47)))</x:f>
        <x:v>0</x:v>
      </x:c>
      <x:c r="I47" s="23" t="n">
        <x:f>IF('Setup'!$B$22&gt;0,"",1-'Processes'!G8-'Setup'!C18)</x:f>
        <x:v>0.92</x:v>
      </x:c>
      <x:c r="J47" s="22" t="n">
        <x:f>IF('Setup'!$B$22&gt;0,"",(G47+H47*F47)*I47*'Processes'!F8)</x:f>
        <x:v>59.800000000000004</x:v>
      </x:c>
      <x:c r="K47" s="22" t="n">
        <x:f>IF('Setup'!$B$22&gt;0,"",(G47+H47*F47)*I47*V47*'Processes'!H8)</x:f>
        <x:v>0</x:v>
      </x:c>
      <x:c r="L47" s="22" t="n">
        <x:f>IF('Setup'!$B$22&gt;0,"",(J47+K47)*'Processes'!C8*'Setup'!D18/'Processes'!B8)</x:f>
        <x:v>5980</x:v>
      </x:c>
      <x:c r="M47" s="22" t="n">
        <x:f>IF('Setup'!$B$22&gt;0,"",'Processes'!L8*'Setup'!E18)</x:f>
        <x:v>8000</x:v>
      </x:c>
      <x:c r="N47" s="24" t="n">
        <x:f>IF('Setup'!$B$22&gt;0,"",INT(MIN(L47,M47)))</x:f>
        <x:v>5980</x:v>
      </x:c>
      <x:c r="O47" s="25" t="n">
        <x:f>IF('Setup'!$B$22&gt;0,"",(D47+E47)*I47*'Processes'!E8*'Processes'!J8)</x:f>
        <x:v>1913.6000000000001</x:v>
      </x:c>
      <x:c r="P47" s="25" t="n">
        <x:f>IF('Setup'!$B$22&gt;0,"",(D47+E47)*I47*V47*'Processes'!J8*'Processes'!K8)</x:f>
        <x:v>0</x:v>
      </x:c>
      <x:c r="Q47" s="25" t="n">
        <x:f>IF('Setup'!$B$22&gt;0,"",Z47-AA47)</x:f>
        <x:v>0</x:v>
      </x:c>
      <x:c r="R47" s="22" t="n">
        <x:f>IF('Setup'!$B$22&gt;0,"",D47+E47)</x:f>
        <x:v>10</x:v>
      </x:c>
      <x:c r="S47" s="22" t="n">
        <x:f>IF('Setup'!$B$22&gt;0,"",'Processes'!M8)</x:f>
        <x:v>16</x:v>
      </x:c>
      <x:c r="T47" s="22" t="n">
        <x:f>IF('Setup'!$B$22&gt;0,"",MAX(0,R47-S47))</x:f>
        <x:v>0</x:v>
      </x:c>
      <x:c r="U47" s="22" t="n">
        <x:f>IF('Setup'!$B$22&gt;0,"",'Staffing'!H7)</x:f>
        <x:v>0</x:v>
      </x:c>
      <x:c r="V47" s="22" t="n">
        <x:f>IF('Setup'!$B$22&gt;0,"",MIN(U47,'Processes'!I8))</x:f>
        <x:v>0</x:v>
      </x:c>
      <x:c r="W47" s="22" t="n">
        <x:f>IF('Setup'!$B$22&gt;0,"",MAX(0,U47-V47))</x:f>
        <x:v>0</x:v>
      </x:c>
      <x:c r="X47" s="22" t="n">
        <x:f>IF('Setup'!$B$22&gt;0,"",I47*('Processes'!F8+V47*'Processes'!H8)*'Processes'!C8*'Setup'!D18/'Processes'!B8)</x:f>
        <x:v>598</x:v>
      </x:c>
      <x:c r="Y47" s="22" t="n">
        <x:f>IF('Setup'!$B$22&gt;0,"",H47*F47)</x:f>
        <x:v>0</x:v>
      </x:c>
      <x:c r="Z47" s="25" t="n">
        <x:f>IF('Setup'!$B$22&gt;0,"",O47+P47)</x:f>
        <x:v>1913.6000000000001</x:v>
      </x:c>
      <x:c r="AA47" s="25" t="n">
        <x:f>IF('Setup'!$B$22&gt;0,"",'Processes'!D8*I47*'Processes'!E8*'Processes'!J8)</x:f>
        <x:v>1913.6000000000001</x:v>
      </x:c>
    </x:row>
    <x:row r="48" ht="23" customHeight="1">
      <x:c r="A48" s="1" t="str">
        <x:v>Upside</x:v>
      </x:c>
      <x:c r="B48" s="1" t="n">
        <x:v>3</x:v>
      </x:c>
      <x:c r="C48" s="1" t="str">
        <x:f>'Processes'!A6</x:f>
        <x:v>Pick</x:v>
      </x:c>
      <x:c r="D48" s="22" t="n">
        <x:f>IF('Setup'!$B$22&gt;0,"",'Staffing'!C8)</x:f>
        <x:v>24</x:v>
      </x:c>
      <x:c r="E48" s="22" t="n">
        <x:f>IF('Setup'!$B$22&gt;0,"",IF(B48&gt;='Processes'!N6,'Processes'!O6,0))</x:f>
        <x:v>4</x:v>
      </x:c>
      <x:c r="F48" s="23" t="n">
        <x:f>IF('Setup'!$B$22&gt;0,"",IF(E48=0,0,INDEX('Setup'!$B$9:$B$13,MIN(5,B48-'Processes'!N6+1))))</x:f>
        <x:v>0.5</x:v>
      </x:c>
      <x:c r="G48" s="22" t="n">
        <x:f>IF('Setup'!$B$22&gt;0,"",MIN(D48,'Processes'!M6))</x:f>
        <x:v>24</x:v>
      </x:c>
      <x:c r="H48" s="22" t="n">
        <x:f>IF('Setup'!$B$22&gt;0,"",MIN(E48,MAX(0,'Processes'!M6-G48)))</x:f>
        <x:v>4</x:v>
      </x:c>
      <x:c r="I48" s="23" t="n">
        <x:f>IF('Setup'!$B$22&gt;0,"",1-'Processes'!G6-'Setup'!C18)</x:f>
        <x:v>0.92</x:v>
      </x:c>
      <x:c r="J48" s="22" t="n">
        <x:f>IF('Setup'!$B$22&gt;0,"",(G48+H48*F48)*I48*'Processes'!F6)</x:f>
        <x:v>155.48000000000002</x:v>
      </x:c>
      <x:c r="K48" s="22" t="n">
        <x:f>IF('Setup'!$B$22&gt;0,"",(G48+H48*F48)*I48*V48*'Processes'!H6)</x:f>
        <x:v>0</x:v>
      </x:c>
      <x:c r="L48" s="22" t="n">
        <x:f>IF('Setup'!$B$22&gt;0,"",(J48+K48)*'Processes'!C6*'Setup'!D18/'Processes'!B6)</x:f>
        <x:v>7774.000000000001</x:v>
      </x:c>
      <x:c r="M48" s="22" t="n">
        <x:f>IF('Setup'!$B$22&gt;0,"",'Processes'!L6*'Setup'!E18)</x:f>
        <x:v>10000</x:v>
      </x:c>
      <x:c r="N48" s="24" t="n">
        <x:f>IF('Setup'!$B$22&gt;0,"",INT(MIN(L48,M48)))</x:f>
        <x:v>7774</x:v>
      </x:c>
      <x:c r="O48" s="25" t="n">
        <x:f>IF('Setup'!$B$22&gt;0,"",(D48+E48)*I48*'Processes'!E6*'Processes'!J6)</x:f>
        <x:v>4945.92</x:v>
      </x:c>
      <x:c r="P48" s="25" t="n">
        <x:f>IF('Setup'!$B$22&gt;0,"",(D48+E48)*I48*V48*'Processes'!J6*'Processes'!K6)</x:f>
        <x:v>0</x:v>
      </x:c>
      <x:c r="Q48" s="25" t="n">
        <x:f>IF('Setup'!$B$22&gt;0,"",Z48-AA48)</x:f>
        <x:v>706.5599999999995</x:v>
      </x:c>
      <x:c r="R48" s="22" t="n">
        <x:f>IF('Setup'!$B$22&gt;0,"",D48+E48)</x:f>
        <x:v>28</x:v>
      </x:c>
      <x:c r="S48" s="22" t="n">
        <x:f>IF('Setup'!$B$22&gt;0,"",'Processes'!M6)</x:f>
        <x:v>32</x:v>
      </x:c>
      <x:c r="T48" s="22" t="n">
        <x:f>IF('Setup'!$B$22&gt;0,"",MAX(0,R48-S48))</x:f>
        <x:v>0</x:v>
      </x:c>
      <x:c r="U48" s="22" t="n">
        <x:f>IF('Setup'!$B$22&gt;0,"",'Staffing'!F8)</x:f>
        <x:v>0</x:v>
      </x:c>
      <x:c r="V48" s="22" t="n">
        <x:f>IF('Setup'!$B$22&gt;0,"",MIN(U48,'Processes'!I6))</x:f>
        <x:v>0</x:v>
      </x:c>
      <x:c r="W48" s="22" t="n">
        <x:f>IF('Setup'!$B$22&gt;0,"",MAX(0,U48-V48))</x:f>
        <x:v>0</x:v>
      </x:c>
      <x:c r="X48" s="22" t="n">
        <x:f>IF('Setup'!$B$22&gt;0,"",I48*('Processes'!F6+V48*'Processes'!H6)*'Processes'!C6*'Setup'!D18/'Processes'!B6)</x:f>
        <x:v>299</x:v>
      </x:c>
      <x:c r="Y48" s="22" t="n">
        <x:f>IF('Setup'!$B$22&gt;0,"",H48*F48)</x:f>
        <x:v>2</x:v>
      </x:c>
      <x:c r="Z48" s="25" t="n">
        <x:f>IF('Setup'!$B$22&gt;0,"",O48+P48)</x:f>
        <x:v>4945.92</x:v>
      </x:c>
      <x:c r="AA48" s="25" t="n">
        <x:f>IF('Setup'!$B$22&gt;0,"",'Processes'!D6*I48*'Processes'!E6*'Processes'!J6)</x:f>
        <x:v>4239.360000000001</x:v>
      </x:c>
    </x:row>
    <x:row r="49" ht="23" customHeight="1">
      <x:c r="A49" s="1" t="str">
        <x:v>Upside</x:v>
      </x:c>
      <x:c r="B49" s="1" t="n">
        <x:v>3</x:v>
      </x:c>
      <x:c r="C49" s="1" t="str">
        <x:f>'Processes'!A7</x:f>
        <x:v>Pack</x:v>
      </x:c>
      <x:c r="D49" s="22" t="n">
        <x:f>IF('Setup'!$B$22&gt;0,"",'Staffing'!D8)</x:f>
        <x:v>18</x:v>
      </x:c>
      <x:c r="E49" s="22" t="n">
        <x:f>IF('Setup'!$B$22&gt;0,"",IF(B49&gt;='Processes'!N7,'Processes'!O7,0))</x:f>
        <x:v>4</x:v>
      </x:c>
      <x:c r="F49" s="23" t="n">
        <x:f>IF('Setup'!$B$22&gt;0,"",IF(E49=0,0,INDEX('Setup'!$B$9:$B$13,MIN(5,B49-'Processes'!N7+1))))</x:f>
        <x:v>0.5</x:v>
      </x:c>
      <x:c r="G49" s="22" t="n">
        <x:f>IF('Setup'!$B$22&gt;0,"",MIN(D49,'Processes'!M7))</x:f>
        <x:v>18</x:v>
      </x:c>
      <x:c r="H49" s="22" t="n">
        <x:f>IF('Setup'!$B$22&gt;0,"",MIN(E49,MAX(0,'Processes'!M7-G49)))</x:f>
        <x:v>4</x:v>
      </x:c>
      <x:c r="I49" s="23" t="n">
        <x:f>IF('Setup'!$B$22&gt;0,"",1-'Processes'!G7-'Setup'!C18)</x:f>
        <x:v>0.92</x:v>
      </x:c>
      <x:c r="J49" s="22" t="n">
        <x:f>IF('Setup'!$B$22&gt;0,"",(G49+H49*F49)*I49*'Processes'!F7)</x:f>
        <x:v>119.60000000000001</x:v>
      </x:c>
      <x:c r="K49" s="22" t="n">
        <x:f>IF('Setup'!$B$22&gt;0,"",(G49+H49*F49)*I49*V49*'Processes'!H7)</x:f>
        <x:v>0</x:v>
      </x:c>
      <x:c r="L49" s="22" t="n">
        <x:f>IF('Setup'!$B$22&gt;0,"",(J49+K49)*'Processes'!C7*'Setup'!D18/'Processes'!B7)</x:f>
        <x:v>7176.000000000001</x:v>
      </x:c>
      <x:c r="M49" s="22" t="n">
        <x:f>IF('Setup'!$B$22&gt;0,"",'Processes'!L7*'Setup'!E18)</x:f>
        <x:v>9000</x:v>
      </x:c>
      <x:c r="N49" s="24" t="n">
        <x:f>IF('Setup'!$B$22&gt;0,"",INT(MIN(L49,M49)))</x:f>
        <x:v>7176</x:v>
      </x:c>
      <x:c r="O49" s="25" t="n">
        <x:f>IF('Setup'!$B$22&gt;0,"",(D49+E49)*I49*'Processes'!E7*'Processes'!J7)</x:f>
        <x:v>3886.0800000000004</x:v>
      </x:c>
      <x:c r="P49" s="25" t="n">
        <x:f>IF('Setup'!$B$22&gt;0,"",(D49+E49)*I49*V49*'Processes'!J7*'Processes'!K7)</x:f>
        <x:v>0</x:v>
      </x:c>
      <x:c r="Q49" s="25" t="n">
        <x:f>IF('Setup'!$B$22&gt;0,"",Z49-AA49)</x:f>
        <x:v>706.56</x:v>
      </x:c>
      <x:c r="R49" s="22" t="n">
        <x:f>IF('Setup'!$B$22&gt;0,"",D49+E49)</x:f>
        <x:v>22</x:v>
      </x:c>
      <x:c r="S49" s="22" t="n">
        <x:f>IF('Setup'!$B$22&gt;0,"",'Processes'!M7)</x:f>
        <x:v>26</x:v>
      </x:c>
      <x:c r="T49" s="22" t="n">
        <x:f>IF('Setup'!$B$22&gt;0,"",MAX(0,R49-S49))</x:f>
        <x:v>0</x:v>
      </x:c>
      <x:c r="U49" s="22" t="n">
        <x:f>IF('Setup'!$B$22&gt;0,"",'Staffing'!G8)</x:f>
        <x:v>0</x:v>
      </x:c>
      <x:c r="V49" s="22" t="n">
        <x:f>IF('Setup'!$B$22&gt;0,"",MIN(U49,'Processes'!I7))</x:f>
        <x:v>0</x:v>
      </x:c>
      <x:c r="W49" s="22" t="n">
        <x:f>IF('Setup'!$B$22&gt;0,"",MAX(0,U49-V49))</x:f>
        <x:v>0</x:v>
      </x:c>
      <x:c r="X49" s="22" t="n">
        <x:f>IF('Setup'!$B$22&gt;0,"",I49*('Processes'!F7+V49*'Processes'!H7)*'Processes'!C7*'Setup'!D18/'Processes'!B7)</x:f>
        <x:v>358.8</x:v>
      </x:c>
      <x:c r="Y49" s="22" t="n">
        <x:f>IF('Setup'!$B$22&gt;0,"",H49*F49)</x:f>
        <x:v>2</x:v>
      </x:c>
      <x:c r="Z49" s="25" t="n">
        <x:f>IF('Setup'!$B$22&gt;0,"",O49+P49)</x:f>
        <x:v>3886.0800000000004</x:v>
      </x:c>
      <x:c r="AA49" s="25" t="n">
        <x:f>IF('Setup'!$B$22&gt;0,"",'Processes'!D7*I49*'Processes'!E7*'Processes'!J7)</x:f>
        <x:v>3179.5200000000004</x:v>
      </x:c>
    </x:row>
    <x:row r="50" ht="23" customHeight="1">
      <x:c r="A50" s="1" t="str">
        <x:v>Upside</x:v>
      </x:c>
      <x:c r="B50" s="1" t="n">
        <x:v>3</x:v>
      </x:c>
      <x:c r="C50" s="1" t="str">
        <x:f>'Processes'!A8</x:f>
        <x:v>Ship</x:v>
      </x:c>
      <x:c r="D50" s="22" t="n">
        <x:f>IF('Setup'!$B$22&gt;0,"",'Staffing'!E8)</x:f>
        <x:v>10</x:v>
      </x:c>
      <x:c r="E50" s="22" t="n">
        <x:f>IF('Setup'!$B$22&gt;0,"",IF(B50&gt;='Processes'!N8,'Processes'!O8,0))</x:f>
        <x:v>3</x:v>
      </x:c>
      <x:c r="F50" s="23" t="n">
        <x:f>IF('Setup'!$B$22&gt;0,"",IF(E50=0,0,INDEX('Setup'!$B$9:$B$13,MIN(5,B50-'Processes'!N8+1))))</x:f>
        <x:v>0.5</x:v>
      </x:c>
      <x:c r="G50" s="22" t="n">
        <x:f>IF('Setup'!$B$22&gt;0,"",MIN(D50,'Processes'!M8))</x:f>
        <x:v>10</x:v>
      </x:c>
      <x:c r="H50" s="22" t="n">
        <x:f>IF('Setup'!$B$22&gt;0,"",MIN(E50,MAX(0,'Processes'!M8-G50)))</x:f>
        <x:v>3</x:v>
      </x:c>
      <x:c r="I50" s="23" t="n">
        <x:f>IF('Setup'!$B$22&gt;0,"",1-'Processes'!G8-'Setup'!C18)</x:f>
        <x:v>0.92</x:v>
      </x:c>
      <x:c r="J50" s="22" t="n">
        <x:f>IF('Setup'!$B$22&gt;0,"",(G50+H50*F50)*I50*'Processes'!F8)</x:f>
        <x:v>68.77</x:v>
      </x:c>
      <x:c r="K50" s="22" t="n">
        <x:f>IF('Setup'!$B$22&gt;0,"",(G50+H50*F50)*I50*V50*'Processes'!H8)</x:f>
        <x:v>0</x:v>
      </x:c>
      <x:c r="L50" s="22" t="n">
        <x:f>IF('Setup'!$B$22&gt;0,"",(J50+K50)*'Processes'!C8*'Setup'!D18/'Processes'!B8)</x:f>
        <x:v>6877</x:v>
      </x:c>
      <x:c r="M50" s="22" t="n">
        <x:f>IF('Setup'!$B$22&gt;0,"",'Processes'!L8*'Setup'!E18)</x:f>
        <x:v>8000</x:v>
      </x:c>
      <x:c r="N50" s="24" t="n">
        <x:f>IF('Setup'!$B$22&gt;0,"",INT(MIN(L50,M50)))</x:f>
        <x:v>6877</x:v>
      </x:c>
      <x:c r="O50" s="25" t="n">
        <x:f>IF('Setup'!$B$22&gt;0,"",(D50+E50)*I50*'Processes'!E8*'Processes'!J8)</x:f>
        <x:v>2487.6800000000003</x:v>
      </x:c>
      <x:c r="P50" s="25" t="n">
        <x:f>IF('Setup'!$B$22&gt;0,"",(D50+E50)*I50*V50*'Processes'!J8*'Processes'!K8)</x:f>
        <x:v>0</x:v>
      </x:c>
      <x:c r="Q50" s="25" t="n">
        <x:f>IF('Setup'!$B$22&gt;0,"",Z50-AA50)</x:f>
        <x:v>574.0800000000002</x:v>
      </x:c>
      <x:c r="R50" s="22" t="n">
        <x:f>IF('Setup'!$B$22&gt;0,"",D50+E50)</x:f>
        <x:v>13</x:v>
      </x:c>
      <x:c r="S50" s="22" t="n">
        <x:f>IF('Setup'!$B$22&gt;0,"",'Processes'!M8)</x:f>
        <x:v>16</x:v>
      </x:c>
      <x:c r="T50" s="22" t="n">
        <x:f>IF('Setup'!$B$22&gt;0,"",MAX(0,R50-S50))</x:f>
        <x:v>0</x:v>
      </x:c>
      <x:c r="U50" s="22" t="n">
        <x:f>IF('Setup'!$B$22&gt;0,"",'Staffing'!H8)</x:f>
        <x:v>0</x:v>
      </x:c>
      <x:c r="V50" s="22" t="n">
        <x:f>IF('Setup'!$B$22&gt;0,"",MIN(U50,'Processes'!I8))</x:f>
        <x:v>0</x:v>
      </x:c>
      <x:c r="W50" s="22" t="n">
        <x:f>IF('Setup'!$B$22&gt;0,"",MAX(0,U50-V50))</x:f>
        <x:v>0</x:v>
      </x:c>
      <x:c r="X50" s="22" t="n">
        <x:f>IF('Setup'!$B$22&gt;0,"",I50*('Processes'!F8+V50*'Processes'!H8)*'Processes'!C8*'Setup'!D18/'Processes'!B8)</x:f>
        <x:v>598</x:v>
      </x:c>
      <x:c r="Y50" s="22" t="n">
        <x:f>IF('Setup'!$B$22&gt;0,"",H50*F50)</x:f>
        <x:v>1.5</x:v>
      </x:c>
      <x:c r="Z50" s="25" t="n">
        <x:f>IF('Setup'!$B$22&gt;0,"",O50+P50)</x:f>
        <x:v>2487.6800000000003</x:v>
      </x:c>
      <x:c r="AA50" s="25" t="n">
        <x:f>IF('Setup'!$B$22&gt;0,"",'Processes'!D8*I50*'Processes'!E8*'Processes'!J8)</x:f>
        <x:v>1913.6000000000001</x:v>
      </x:c>
    </x:row>
    <x:row r="51" ht="23" customHeight="1">
      <x:c r="A51" s="1" t="str">
        <x:v>Upside</x:v>
      </x:c>
      <x:c r="B51" s="1" t="n">
        <x:v>4</x:v>
      </x:c>
      <x:c r="C51" s="1" t="str">
        <x:f>'Processes'!A6</x:f>
        <x:v>Pick</x:v>
      </x:c>
      <x:c r="D51" s="22" t="n">
        <x:f>IF('Setup'!$B$22&gt;0,"",'Staffing'!C9)</x:f>
        <x:v>24</x:v>
      </x:c>
      <x:c r="E51" s="22" t="n">
        <x:f>IF('Setup'!$B$22&gt;0,"",IF(B51&gt;='Processes'!N6,'Processes'!O6,0))</x:f>
        <x:v>4</x:v>
      </x:c>
      <x:c r="F51" s="23" t="n">
        <x:f>IF('Setup'!$B$22&gt;0,"",IF(E51=0,0,INDEX('Setup'!$B$9:$B$13,MIN(5,B51-'Processes'!N6+1))))</x:f>
        <x:v>0.65</x:v>
      </x:c>
      <x:c r="G51" s="22" t="n">
        <x:f>IF('Setup'!$B$22&gt;0,"",MIN(D51,'Processes'!M6))</x:f>
        <x:v>24</x:v>
      </x:c>
      <x:c r="H51" s="22" t="n">
        <x:f>IF('Setup'!$B$22&gt;0,"",MIN(E51,MAX(0,'Processes'!M6-G51)))</x:f>
        <x:v>4</x:v>
      </x:c>
      <x:c r="I51" s="23" t="n">
        <x:f>IF('Setup'!$B$22&gt;0,"",1-'Processes'!G6-'Setup'!C18)</x:f>
        <x:v>0.92</x:v>
      </x:c>
      <x:c r="J51" s="22" t="n">
        <x:f>IF('Setup'!$B$22&gt;0,"",(G51+H51*F51)*I51*'Processes'!F6)</x:f>
        <x:v>159.068</x:v>
      </x:c>
      <x:c r="K51" s="22" t="n">
        <x:f>IF('Setup'!$B$22&gt;0,"",(G51+H51*F51)*I51*V51*'Processes'!H6)</x:f>
        <x:v>0</x:v>
      </x:c>
      <x:c r="L51" s="22" t="n">
        <x:f>IF('Setup'!$B$22&gt;0,"",(J51+K51)*'Processes'!C6*'Setup'!D18/'Processes'!B6)</x:f>
        <x:v>7953.400000000001</x:v>
      </x:c>
      <x:c r="M51" s="22" t="n">
        <x:f>IF('Setup'!$B$22&gt;0,"",'Processes'!L6*'Setup'!E18)</x:f>
        <x:v>10000</x:v>
      </x:c>
      <x:c r="N51" s="24" t="n">
        <x:f>IF('Setup'!$B$22&gt;0,"",INT(MIN(L51,M51)))</x:f>
        <x:v>7953</x:v>
      </x:c>
      <x:c r="O51" s="25" t="n">
        <x:f>IF('Setup'!$B$22&gt;0,"",(D51+E51)*I51*'Processes'!E6*'Processes'!J6)</x:f>
        <x:v>4945.92</x:v>
      </x:c>
      <x:c r="P51" s="25" t="n">
        <x:f>IF('Setup'!$B$22&gt;0,"",(D51+E51)*I51*V51*'Processes'!J6*'Processes'!K6)</x:f>
        <x:v>0</x:v>
      </x:c>
      <x:c r="Q51" s="25" t="n">
        <x:f>IF('Setup'!$B$22&gt;0,"",Z51-AA51)</x:f>
        <x:v>706.5599999999995</x:v>
      </x:c>
      <x:c r="R51" s="22" t="n">
        <x:f>IF('Setup'!$B$22&gt;0,"",D51+E51)</x:f>
        <x:v>28</x:v>
      </x:c>
      <x:c r="S51" s="22" t="n">
        <x:f>IF('Setup'!$B$22&gt;0,"",'Processes'!M6)</x:f>
        <x:v>32</x:v>
      </x:c>
      <x:c r="T51" s="22" t="n">
        <x:f>IF('Setup'!$B$22&gt;0,"",MAX(0,R51-S51))</x:f>
        <x:v>0</x:v>
      </x:c>
      <x:c r="U51" s="22" t="n">
        <x:f>IF('Setup'!$B$22&gt;0,"",'Staffing'!F9)</x:f>
        <x:v>0</x:v>
      </x:c>
      <x:c r="V51" s="22" t="n">
        <x:f>IF('Setup'!$B$22&gt;0,"",MIN(U51,'Processes'!I6))</x:f>
        <x:v>0</x:v>
      </x:c>
      <x:c r="W51" s="22" t="n">
        <x:f>IF('Setup'!$B$22&gt;0,"",MAX(0,U51-V51))</x:f>
        <x:v>0</x:v>
      </x:c>
      <x:c r="X51" s="22" t="n">
        <x:f>IF('Setup'!$B$22&gt;0,"",I51*('Processes'!F6+V51*'Processes'!H6)*'Processes'!C6*'Setup'!D18/'Processes'!B6)</x:f>
        <x:v>299</x:v>
      </x:c>
      <x:c r="Y51" s="22" t="n">
        <x:f>IF('Setup'!$B$22&gt;0,"",H51*F51)</x:f>
        <x:v>2.6</x:v>
      </x:c>
      <x:c r="Z51" s="25" t="n">
        <x:f>IF('Setup'!$B$22&gt;0,"",O51+P51)</x:f>
        <x:v>4945.92</x:v>
      </x:c>
      <x:c r="AA51" s="25" t="n">
        <x:f>IF('Setup'!$B$22&gt;0,"",'Processes'!D6*I51*'Processes'!E6*'Processes'!J6)</x:f>
        <x:v>4239.360000000001</x:v>
      </x:c>
    </x:row>
    <x:row r="52" ht="23" customHeight="1">
      <x:c r="A52" s="1" t="str">
        <x:v>Upside</x:v>
      </x:c>
      <x:c r="B52" s="1" t="n">
        <x:v>4</x:v>
      </x:c>
      <x:c r="C52" s="1" t="str">
        <x:f>'Processes'!A7</x:f>
        <x:v>Pack</x:v>
      </x:c>
      <x:c r="D52" s="22" t="n">
        <x:f>IF('Setup'!$B$22&gt;0,"",'Staffing'!D9)</x:f>
        <x:v>18</x:v>
      </x:c>
      <x:c r="E52" s="22" t="n">
        <x:f>IF('Setup'!$B$22&gt;0,"",IF(B52&gt;='Processes'!N7,'Processes'!O7,0))</x:f>
        <x:v>4</x:v>
      </x:c>
      <x:c r="F52" s="23" t="n">
        <x:f>IF('Setup'!$B$22&gt;0,"",IF(E52=0,0,INDEX('Setup'!$B$9:$B$13,MIN(5,B52-'Processes'!N7+1))))</x:f>
        <x:v>0.65</x:v>
      </x:c>
      <x:c r="G52" s="22" t="n">
        <x:f>IF('Setup'!$B$22&gt;0,"",MIN(D52,'Processes'!M7))</x:f>
        <x:v>18</x:v>
      </x:c>
      <x:c r="H52" s="22" t="n">
        <x:f>IF('Setup'!$B$22&gt;0,"",MIN(E52,MAX(0,'Processes'!M7-G52)))</x:f>
        <x:v>4</x:v>
      </x:c>
      <x:c r="I52" s="23" t="n">
        <x:f>IF('Setup'!$B$22&gt;0,"",1-'Processes'!G7-'Setup'!C18)</x:f>
        <x:v>0.92</x:v>
      </x:c>
      <x:c r="J52" s="22" t="n">
        <x:f>IF('Setup'!$B$22&gt;0,"",(G52+H52*F52)*I52*'Processes'!F7)</x:f>
        <x:v>123.18800000000002</x:v>
      </x:c>
      <x:c r="K52" s="22" t="n">
        <x:f>IF('Setup'!$B$22&gt;0,"",(G52+H52*F52)*I52*V52*'Processes'!H7)</x:f>
        <x:v>0</x:v>
      </x:c>
      <x:c r="L52" s="22" t="n">
        <x:f>IF('Setup'!$B$22&gt;0,"",(J52+K52)*'Processes'!C7*'Setup'!D18/'Processes'!B7)</x:f>
        <x:v>7391.280000000001</x:v>
      </x:c>
      <x:c r="M52" s="22" t="n">
        <x:f>IF('Setup'!$B$22&gt;0,"",'Processes'!L7*'Setup'!E18)</x:f>
        <x:v>9000</x:v>
      </x:c>
      <x:c r="N52" s="24" t="n">
        <x:f>IF('Setup'!$B$22&gt;0,"",INT(MIN(L52,M52)))</x:f>
        <x:v>7391</x:v>
      </x:c>
      <x:c r="O52" s="25" t="n">
        <x:f>IF('Setup'!$B$22&gt;0,"",(D52+E52)*I52*'Processes'!E7*'Processes'!J7)</x:f>
        <x:v>3886.0800000000004</x:v>
      </x:c>
      <x:c r="P52" s="25" t="n">
        <x:f>IF('Setup'!$B$22&gt;0,"",(D52+E52)*I52*V52*'Processes'!J7*'Processes'!K7)</x:f>
        <x:v>0</x:v>
      </x:c>
      <x:c r="Q52" s="25" t="n">
        <x:f>IF('Setup'!$B$22&gt;0,"",Z52-AA52)</x:f>
        <x:v>706.56</x:v>
      </x:c>
      <x:c r="R52" s="22" t="n">
        <x:f>IF('Setup'!$B$22&gt;0,"",D52+E52)</x:f>
        <x:v>22</x:v>
      </x:c>
      <x:c r="S52" s="22" t="n">
        <x:f>IF('Setup'!$B$22&gt;0,"",'Processes'!M7)</x:f>
        <x:v>26</x:v>
      </x:c>
      <x:c r="T52" s="22" t="n">
        <x:f>IF('Setup'!$B$22&gt;0,"",MAX(0,R52-S52))</x:f>
        <x:v>0</x:v>
      </x:c>
      <x:c r="U52" s="22" t="n">
        <x:f>IF('Setup'!$B$22&gt;0,"",'Staffing'!G9)</x:f>
        <x:v>0</x:v>
      </x:c>
      <x:c r="V52" s="22" t="n">
        <x:f>IF('Setup'!$B$22&gt;0,"",MIN(U52,'Processes'!I7))</x:f>
        <x:v>0</x:v>
      </x:c>
      <x:c r="W52" s="22" t="n">
        <x:f>IF('Setup'!$B$22&gt;0,"",MAX(0,U52-V52))</x:f>
        <x:v>0</x:v>
      </x:c>
      <x:c r="X52" s="22" t="n">
        <x:f>IF('Setup'!$B$22&gt;0,"",I52*('Processes'!F7+V52*'Processes'!H7)*'Processes'!C7*'Setup'!D18/'Processes'!B7)</x:f>
        <x:v>358.8</x:v>
      </x:c>
      <x:c r="Y52" s="22" t="n">
        <x:f>IF('Setup'!$B$22&gt;0,"",H52*F52)</x:f>
        <x:v>2.6</x:v>
      </x:c>
      <x:c r="Z52" s="25" t="n">
        <x:f>IF('Setup'!$B$22&gt;0,"",O52+P52)</x:f>
        <x:v>3886.0800000000004</x:v>
      </x:c>
      <x:c r="AA52" s="25" t="n">
        <x:f>IF('Setup'!$B$22&gt;0,"",'Processes'!D7*I52*'Processes'!E7*'Processes'!J7)</x:f>
        <x:v>3179.5200000000004</x:v>
      </x:c>
    </x:row>
    <x:row r="53" ht="23" customHeight="1">
      <x:c r="A53" s="1" t="str">
        <x:v>Upside</x:v>
      </x:c>
      <x:c r="B53" s="1" t="n">
        <x:v>4</x:v>
      </x:c>
      <x:c r="C53" s="1" t="str">
        <x:f>'Processes'!A8</x:f>
        <x:v>Ship</x:v>
      </x:c>
      <x:c r="D53" s="22" t="n">
        <x:f>IF('Setup'!$B$22&gt;0,"",'Staffing'!E9)</x:f>
        <x:v>10</x:v>
      </x:c>
      <x:c r="E53" s="22" t="n">
        <x:f>IF('Setup'!$B$22&gt;0,"",IF(B53&gt;='Processes'!N8,'Processes'!O8,0))</x:f>
        <x:v>3</x:v>
      </x:c>
      <x:c r="F53" s="23" t="n">
        <x:f>IF('Setup'!$B$22&gt;0,"",IF(E53=0,0,INDEX('Setup'!$B$9:$B$13,MIN(5,B53-'Processes'!N8+1))))</x:f>
        <x:v>0.65</x:v>
      </x:c>
      <x:c r="G53" s="22" t="n">
        <x:f>IF('Setup'!$B$22&gt;0,"",MIN(D53,'Processes'!M8))</x:f>
        <x:v>10</x:v>
      </x:c>
      <x:c r="H53" s="22" t="n">
        <x:f>IF('Setup'!$B$22&gt;0,"",MIN(E53,MAX(0,'Processes'!M8-G53)))</x:f>
        <x:v>3</x:v>
      </x:c>
      <x:c r="I53" s="23" t="n">
        <x:f>IF('Setup'!$B$22&gt;0,"",1-'Processes'!G8-'Setup'!C18)</x:f>
        <x:v>0.92</x:v>
      </x:c>
      <x:c r="J53" s="22" t="n">
        <x:f>IF('Setup'!$B$22&gt;0,"",(G53+H53*F53)*I53*'Processes'!F8)</x:f>
        <x:v>71.461</x:v>
      </x:c>
      <x:c r="K53" s="22" t="n">
        <x:f>IF('Setup'!$B$22&gt;0,"",(G53+H53*F53)*I53*V53*'Processes'!H8)</x:f>
        <x:v>0</x:v>
      </x:c>
      <x:c r="L53" s="22" t="n">
        <x:f>IF('Setup'!$B$22&gt;0,"",(J53+K53)*'Processes'!C8*'Setup'!D18/'Processes'!B8)</x:f>
        <x:v>7146.099999999999</x:v>
      </x:c>
      <x:c r="M53" s="22" t="n">
        <x:f>IF('Setup'!$B$22&gt;0,"",'Processes'!L8*'Setup'!E18)</x:f>
        <x:v>8000</x:v>
      </x:c>
      <x:c r="N53" s="24" t="n">
        <x:f>IF('Setup'!$B$22&gt;0,"",INT(MIN(L53,M53)))</x:f>
        <x:v>7146</x:v>
      </x:c>
      <x:c r="O53" s="25" t="n">
        <x:f>IF('Setup'!$B$22&gt;0,"",(D53+E53)*I53*'Processes'!E8*'Processes'!J8)</x:f>
        <x:v>2487.6800000000003</x:v>
      </x:c>
      <x:c r="P53" s="25" t="n">
        <x:f>IF('Setup'!$B$22&gt;0,"",(D53+E53)*I53*V53*'Processes'!J8*'Processes'!K8)</x:f>
        <x:v>0</x:v>
      </x:c>
      <x:c r="Q53" s="25" t="n">
        <x:f>IF('Setup'!$B$22&gt;0,"",Z53-AA53)</x:f>
        <x:v>574.0800000000002</x:v>
      </x:c>
      <x:c r="R53" s="22" t="n">
        <x:f>IF('Setup'!$B$22&gt;0,"",D53+E53)</x:f>
        <x:v>13</x:v>
      </x:c>
      <x:c r="S53" s="22" t="n">
        <x:f>IF('Setup'!$B$22&gt;0,"",'Processes'!M8)</x:f>
        <x:v>16</x:v>
      </x:c>
      <x:c r="T53" s="22" t="n">
        <x:f>IF('Setup'!$B$22&gt;0,"",MAX(0,R53-S53))</x:f>
        <x:v>0</x:v>
      </x:c>
      <x:c r="U53" s="22" t="n">
        <x:f>IF('Setup'!$B$22&gt;0,"",'Staffing'!H9)</x:f>
        <x:v>0</x:v>
      </x:c>
      <x:c r="V53" s="22" t="n">
        <x:f>IF('Setup'!$B$22&gt;0,"",MIN(U53,'Processes'!I8))</x:f>
        <x:v>0</x:v>
      </x:c>
      <x:c r="W53" s="22" t="n">
        <x:f>IF('Setup'!$B$22&gt;0,"",MAX(0,U53-V53))</x:f>
        <x:v>0</x:v>
      </x:c>
      <x:c r="X53" s="22" t="n">
        <x:f>IF('Setup'!$B$22&gt;0,"",I53*('Processes'!F8+V53*'Processes'!H8)*'Processes'!C8*'Setup'!D18/'Processes'!B8)</x:f>
        <x:v>598</x:v>
      </x:c>
      <x:c r="Y53" s="22" t="n">
        <x:f>IF('Setup'!$B$22&gt;0,"",H53*F53)</x:f>
        <x:v>1.9500000000000002</x:v>
      </x:c>
      <x:c r="Z53" s="25" t="n">
        <x:f>IF('Setup'!$B$22&gt;0,"",O53+P53)</x:f>
        <x:v>2487.6800000000003</x:v>
      </x:c>
      <x:c r="AA53" s="25" t="n">
        <x:f>IF('Setup'!$B$22&gt;0,"",'Processes'!D8*I53*'Processes'!E8*'Processes'!J8)</x:f>
        <x:v>1913.6000000000001</x:v>
      </x:c>
    </x:row>
    <x:row r="54" ht="23" customHeight="1">
      <x:c r="A54" s="1" t="str">
        <x:v>Upside</x:v>
      </x:c>
      <x:c r="B54" s="1" t="n">
        <x:v>5</x:v>
      </x:c>
      <x:c r="C54" s="1" t="str">
        <x:f>'Processes'!A6</x:f>
        <x:v>Pick</x:v>
      </x:c>
      <x:c r="D54" s="22" t="n">
        <x:f>IF('Setup'!$B$22&gt;0,"",'Staffing'!C10)</x:f>
        <x:v>24</x:v>
      </x:c>
      <x:c r="E54" s="22" t="n">
        <x:f>IF('Setup'!$B$22&gt;0,"",IF(B54&gt;='Processes'!N6,'Processes'!O6,0))</x:f>
        <x:v>4</x:v>
      </x:c>
      <x:c r="F54" s="23" t="n">
        <x:f>IF('Setup'!$B$22&gt;0,"",IF(E54=0,0,INDEX('Setup'!$B$9:$B$13,MIN(5,B54-'Processes'!N6+1))))</x:f>
        <x:v>0.8</x:v>
      </x:c>
      <x:c r="G54" s="22" t="n">
        <x:f>IF('Setup'!$B$22&gt;0,"",MIN(D54,'Processes'!M6))</x:f>
        <x:v>24</x:v>
      </x:c>
      <x:c r="H54" s="22" t="n">
        <x:f>IF('Setup'!$B$22&gt;0,"",MIN(E54,MAX(0,'Processes'!M6-G54)))</x:f>
        <x:v>4</x:v>
      </x:c>
      <x:c r="I54" s="23" t="n">
        <x:f>IF('Setup'!$B$22&gt;0,"",1-'Processes'!G6-'Setup'!C18)</x:f>
        <x:v>0.92</x:v>
      </x:c>
      <x:c r="J54" s="22" t="n">
        <x:f>IF('Setup'!$B$22&gt;0,"",(G54+H54*F54)*I54*'Processes'!F6)</x:f>
        <x:v>162.656</x:v>
      </x:c>
      <x:c r="K54" s="22" t="n">
        <x:f>IF('Setup'!$B$22&gt;0,"",(G54+H54*F54)*I54*V54*'Processes'!H6)</x:f>
        <x:v>22.521600000000003</x:v>
      </x:c>
      <x:c r="L54" s="22" t="n">
        <x:f>IF('Setup'!$B$22&gt;0,"",(J54+K54)*'Processes'!C6*'Setup'!D18/'Processes'!B6)</x:f>
        <x:v>9258.880000000001</x:v>
      </x:c>
      <x:c r="M54" s="22" t="n">
        <x:f>IF('Setup'!$B$22&gt;0,"",'Processes'!L6*'Setup'!E18)</x:f>
        <x:v>10000</x:v>
      </x:c>
      <x:c r="N54" s="24" t="n">
        <x:f>IF('Setup'!$B$22&gt;0,"",INT(MIN(L54,M54)))</x:f>
        <x:v>9258</x:v>
      </x:c>
      <x:c r="O54" s="25" t="n">
        <x:f>IF('Setup'!$B$22&gt;0,"",(D54+E54)*I54*'Processes'!E6*'Processes'!J6)</x:f>
        <x:v>4945.92</x:v>
      </x:c>
      <x:c r="P54" s="25" t="n">
        <x:f>IF('Setup'!$B$22&gt;0,"",(D54+E54)*I54*V54*'Processes'!J6*'Processes'!K6)</x:f>
        <x:v>927.36</x:v>
      </x:c>
      <x:c r="Q54" s="25" t="n">
        <x:f>IF('Setup'!$B$22&gt;0,"",Z54-AA54)</x:f>
        <x:v>1633.9199999999992</x:v>
      </x:c>
      <x:c r="R54" s="22" t="n">
        <x:f>IF('Setup'!$B$22&gt;0,"",D54+E54)</x:f>
        <x:v>28</x:v>
      </x:c>
      <x:c r="S54" s="22" t="n">
        <x:f>IF('Setup'!$B$22&gt;0,"",'Processes'!M6)</x:f>
        <x:v>32</x:v>
      </x:c>
      <x:c r="T54" s="22" t="n">
        <x:f>IF('Setup'!$B$22&gt;0,"",MAX(0,R54-S54))</x:f>
        <x:v>0</x:v>
      </x:c>
      <x:c r="U54" s="22" t="n">
        <x:f>IF('Setup'!$B$22&gt;0,"",'Staffing'!F10)</x:f>
        <x:v>1</x:v>
      </x:c>
      <x:c r="V54" s="22" t="n">
        <x:f>IF('Setup'!$B$22&gt;0,"",MIN(U54,'Processes'!I6))</x:f>
        <x:v>1</x:v>
      </x:c>
      <x:c r="W54" s="22" t="n">
        <x:f>IF('Setup'!$B$22&gt;0,"",MAX(0,U54-V54))</x:f>
        <x:v>0</x:v>
      </x:c>
      <x:c r="X54" s="22" t="n">
        <x:f>IF('Setup'!$B$22&gt;0,"",I54*('Processes'!F6+V54*'Processes'!H6)*'Processes'!C6*'Setup'!D18/'Processes'!B6)</x:f>
        <x:v>340.40000000000003</x:v>
      </x:c>
      <x:c r="Y54" s="22" t="n">
        <x:f>IF('Setup'!$B$22&gt;0,"",H54*F54)</x:f>
        <x:v>3.2</x:v>
      </x:c>
      <x:c r="Z54" s="25" t="n">
        <x:f>IF('Setup'!$B$22&gt;0,"",O54+P54)</x:f>
        <x:v>5873.28</x:v>
      </x:c>
      <x:c r="AA54" s="25" t="n">
        <x:f>IF('Setup'!$B$22&gt;0,"",'Processes'!D6*I54*'Processes'!E6*'Processes'!J6)</x:f>
        <x:v>4239.360000000001</x:v>
      </x:c>
    </x:row>
    <x:row r="55" ht="23" customHeight="1">
      <x:c r="A55" s="1" t="str">
        <x:v>Upside</x:v>
      </x:c>
      <x:c r="B55" s="1" t="n">
        <x:v>5</x:v>
      </x:c>
      <x:c r="C55" s="1" t="str">
        <x:f>'Processes'!A7</x:f>
        <x:v>Pack</x:v>
      </x:c>
      <x:c r="D55" s="22" t="n">
        <x:f>IF('Setup'!$B$22&gt;0,"",'Staffing'!D10)</x:f>
        <x:v>18</x:v>
      </x:c>
      <x:c r="E55" s="22" t="n">
        <x:f>IF('Setup'!$B$22&gt;0,"",IF(B55&gt;='Processes'!N7,'Processes'!O7,0))</x:f>
        <x:v>4</x:v>
      </x:c>
      <x:c r="F55" s="23" t="n">
        <x:f>IF('Setup'!$B$22&gt;0,"",IF(E55=0,0,INDEX('Setup'!$B$9:$B$13,MIN(5,B55-'Processes'!N7+1))))</x:f>
        <x:v>0.8</x:v>
      </x:c>
      <x:c r="G55" s="22" t="n">
        <x:f>IF('Setup'!$B$22&gt;0,"",MIN(D55,'Processes'!M7))</x:f>
        <x:v>18</x:v>
      </x:c>
      <x:c r="H55" s="22" t="n">
        <x:f>IF('Setup'!$B$22&gt;0,"",MIN(E55,MAX(0,'Processes'!M7-G55)))</x:f>
        <x:v>4</x:v>
      </x:c>
      <x:c r="I55" s="23" t="n">
        <x:f>IF('Setup'!$B$22&gt;0,"",1-'Processes'!G7-'Setup'!C18)</x:f>
        <x:v>0.92</x:v>
      </x:c>
      <x:c r="J55" s="22" t="n">
        <x:f>IF('Setup'!$B$22&gt;0,"",(G55+H55*F55)*I55*'Processes'!F7)</x:f>
        <x:v>126.77600000000001</x:v>
      </x:c>
      <x:c r="K55" s="22" t="n">
        <x:f>IF('Setup'!$B$22&gt;0,"",(G55+H55*F55)*I55*V55*'Processes'!H7)</x:f>
        <x:v>17.553600000000003</x:v>
      </x:c>
      <x:c r="L55" s="22" t="n">
        <x:f>IF('Setup'!$B$22&gt;0,"",(J55+K55)*'Processes'!C7*'Setup'!D18/'Processes'!B7)</x:f>
        <x:v>8659.776000000002</x:v>
      </x:c>
      <x:c r="M55" s="22" t="n">
        <x:f>IF('Setup'!$B$22&gt;0,"",'Processes'!L7*'Setup'!E18)</x:f>
        <x:v>9000</x:v>
      </x:c>
      <x:c r="N55" s="24" t="n">
        <x:f>IF('Setup'!$B$22&gt;0,"",INT(MIN(L55,M55)))</x:f>
        <x:v>8659</x:v>
      </x:c>
      <x:c r="O55" s="25" t="n">
        <x:f>IF('Setup'!$B$22&gt;0,"",(D55+E55)*I55*'Processes'!E7*'Processes'!J7)</x:f>
        <x:v>3886.0800000000004</x:v>
      </x:c>
      <x:c r="P55" s="25" t="n">
        <x:f>IF('Setup'!$B$22&gt;0,"",(D55+E55)*I55*V55*'Processes'!J7*'Processes'!K7)</x:f>
        <x:v>728.6400000000001</x:v>
      </x:c>
      <x:c r="Q55" s="25" t="n">
        <x:f>IF('Setup'!$B$22&gt;0,"",Z55-AA55)</x:f>
        <x:v>1435.1999999999998</x:v>
      </x:c>
      <x:c r="R55" s="22" t="n">
        <x:f>IF('Setup'!$B$22&gt;0,"",D55+E55)</x:f>
        <x:v>22</x:v>
      </x:c>
      <x:c r="S55" s="22" t="n">
        <x:f>IF('Setup'!$B$22&gt;0,"",'Processes'!M7)</x:f>
        <x:v>26</x:v>
      </x:c>
      <x:c r="T55" s="22" t="n">
        <x:f>IF('Setup'!$B$22&gt;0,"",MAX(0,R55-S55))</x:f>
        <x:v>0</x:v>
      </x:c>
      <x:c r="U55" s="22" t="n">
        <x:f>IF('Setup'!$B$22&gt;0,"",'Staffing'!G10)</x:f>
        <x:v>1</x:v>
      </x:c>
      <x:c r="V55" s="22" t="n">
        <x:f>IF('Setup'!$B$22&gt;0,"",MIN(U55,'Processes'!I7))</x:f>
        <x:v>1</x:v>
      </x:c>
      <x:c r="W55" s="22" t="n">
        <x:f>IF('Setup'!$B$22&gt;0,"",MAX(0,U55-V55))</x:f>
        <x:v>0</x:v>
      </x:c>
      <x:c r="X55" s="22" t="n">
        <x:f>IF('Setup'!$B$22&gt;0,"",I55*('Processes'!F7+V55*'Processes'!H7)*'Processes'!C7*'Setup'!D18/'Processes'!B7)</x:f>
        <x:v>408.48</x:v>
      </x:c>
      <x:c r="Y55" s="22" t="n">
        <x:f>IF('Setup'!$B$22&gt;0,"",H55*F55)</x:f>
        <x:v>3.2</x:v>
      </x:c>
      <x:c r="Z55" s="25" t="n">
        <x:f>IF('Setup'!$B$22&gt;0,"",O55+P55)</x:f>
        <x:v>4614.72</x:v>
      </x:c>
      <x:c r="AA55" s="25" t="n">
        <x:f>IF('Setup'!$B$22&gt;0,"",'Processes'!D7*I55*'Processes'!E7*'Processes'!J7)</x:f>
        <x:v>3179.5200000000004</x:v>
      </x:c>
    </x:row>
    <x:row r="56" ht="23" customHeight="1">
      <x:c r="A56" s="1" t="str">
        <x:v>Upside</x:v>
      </x:c>
      <x:c r="B56" s="1" t="n">
        <x:v>5</x:v>
      </x:c>
      <x:c r="C56" s="1" t="str">
        <x:f>'Processes'!A8</x:f>
        <x:v>Ship</x:v>
      </x:c>
      <x:c r="D56" s="22" t="n">
        <x:f>IF('Setup'!$B$22&gt;0,"",'Staffing'!E10)</x:f>
        <x:v>10</x:v>
      </x:c>
      <x:c r="E56" s="22" t="n">
        <x:f>IF('Setup'!$B$22&gt;0,"",IF(B56&gt;='Processes'!N8,'Processes'!O8,0))</x:f>
        <x:v>3</x:v>
      </x:c>
      <x:c r="F56" s="23" t="n">
        <x:f>IF('Setup'!$B$22&gt;0,"",IF(E56=0,0,INDEX('Setup'!$B$9:$B$13,MIN(5,B56-'Processes'!N8+1))))</x:f>
        <x:v>0.8</x:v>
      </x:c>
      <x:c r="G56" s="22" t="n">
        <x:f>IF('Setup'!$B$22&gt;0,"",MIN(D56,'Processes'!M8))</x:f>
        <x:v>10</x:v>
      </x:c>
      <x:c r="H56" s="22" t="n">
        <x:f>IF('Setup'!$B$22&gt;0,"",MIN(E56,MAX(0,'Processes'!M8-G56)))</x:f>
        <x:v>3</x:v>
      </x:c>
      <x:c r="I56" s="23" t="n">
        <x:f>IF('Setup'!$B$22&gt;0,"",1-'Processes'!G8-'Setup'!C18)</x:f>
        <x:v>0.92</x:v>
      </x:c>
      <x:c r="J56" s="22" t="n">
        <x:f>IF('Setup'!$B$22&gt;0,"",(G56+H56*F56)*I56*'Processes'!F8)</x:f>
        <x:v>74.15200000000002</x:v>
      </x:c>
      <x:c r="K56" s="22" t="n">
        <x:f>IF('Setup'!$B$22&gt;0,"",(G56+H56*F56)*I56*V56*'Processes'!H8)</x:f>
        <x:v>10.2672</x:v>
      </x:c>
      <x:c r="L56" s="22" t="n">
        <x:f>IF('Setup'!$B$22&gt;0,"",(J56+K56)*'Processes'!C8*'Setup'!D18/'Processes'!B8)</x:f>
        <x:v>8441.920000000002</x:v>
      </x:c>
      <x:c r="M56" s="22" t="n">
        <x:f>IF('Setup'!$B$22&gt;0,"",'Processes'!L8*'Setup'!E18)</x:f>
        <x:v>8000</x:v>
      </x:c>
      <x:c r="N56" s="24" t="n">
        <x:f>IF('Setup'!$B$22&gt;0,"",INT(MIN(L56,M56)))</x:f>
        <x:v>8000</x:v>
      </x:c>
      <x:c r="O56" s="25" t="n">
        <x:f>IF('Setup'!$B$22&gt;0,"",(D56+E56)*I56*'Processes'!E8*'Processes'!J8)</x:f>
        <x:v>2487.6800000000003</x:v>
      </x:c>
      <x:c r="P56" s="25" t="n">
        <x:f>IF('Setup'!$B$22&gt;0,"",(D56+E56)*I56*V56*'Processes'!J8*'Processes'!K8)</x:f>
        <x:v>466.44000000000005</x:v>
      </x:c>
      <x:c r="Q56" s="25" t="n">
        <x:f>IF('Setup'!$B$22&gt;0,"",Z56-AA56)</x:f>
        <x:v>1040.5200000000002</x:v>
      </x:c>
      <x:c r="R56" s="22" t="n">
        <x:f>IF('Setup'!$B$22&gt;0,"",D56+E56)</x:f>
        <x:v>13</x:v>
      </x:c>
      <x:c r="S56" s="22" t="n">
        <x:f>IF('Setup'!$B$22&gt;0,"",'Processes'!M8)</x:f>
        <x:v>16</x:v>
      </x:c>
      <x:c r="T56" s="22" t="n">
        <x:f>IF('Setup'!$B$22&gt;0,"",MAX(0,R56-S56))</x:f>
        <x:v>0</x:v>
      </x:c>
      <x:c r="U56" s="22" t="n">
        <x:f>IF('Setup'!$B$22&gt;0,"",'Staffing'!H10)</x:f>
        <x:v>1</x:v>
      </x:c>
      <x:c r="V56" s="22" t="n">
        <x:f>IF('Setup'!$B$22&gt;0,"",MIN(U56,'Processes'!I8))</x:f>
        <x:v>1</x:v>
      </x:c>
      <x:c r="W56" s="22" t="n">
        <x:f>IF('Setup'!$B$22&gt;0,"",MAX(0,U56-V56))</x:f>
        <x:v>0</x:v>
      </x:c>
      <x:c r="X56" s="22" t="n">
        <x:f>IF('Setup'!$B$22&gt;0,"",I56*('Processes'!F8+V56*'Processes'!H8)*'Processes'!C8*'Setup'!D18/'Processes'!B8)</x:f>
        <x:v>680.8000000000001</x:v>
      </x:c>
      <x:c r="Y56" s="22" t="n">
        <x:f>IF('Setup'!$B$22&gt;0,"",H56*F56)</x:f>
        <x:v>2.4000000000000004</x:v>
      </x:c>
      <x:c r="Z56" s="25" t="n">
        <x:f>IF('Setup'!$B$22&gt;0,"",O56+P56)</x:f>
        <x:v>2954.1200000000003</x:v>
      </x:c>
      <x:c r="AA56" s="25" t="n">
        <x:f>IF('Setup'!$B$22&gt;0,"",'Processes'!D8*I56*'Processes'!E8*'Processes'!J8)</x:f>
        <x:v>1913.6000000000001</x:v>
      </x:c>
    </x:row>
    <x:row r="57" ht="23" customHeight="1">
      <x:c r="A57" s="1" t="str">
        <x:v>Upside</x:v>
      </x:c>
      <x:c r="B57" s="1" t="n">
        <x:v>6</x:v>
      </x:c>
      <x:c r="C57" s="1" t="str">
        <x:f>'Processes'!A6</x:f>
        <x:v>Pick</x:v>
      </x:c>
      <x:c r="D57" s="22" t="n">
        <x:f>IF('Setup'!$B$22&gt;0,"",'Staffing'!C11)</x:f>
        <x:v>24</x:v>
      </x:c>
      <x:c r="E57" s="22" t="n">
        <x:f>IF('Setup'!$B$22&gt;0,"",IF(B57&gt;='Processes'!N6,'Processes'!O6,0))</x:f>
        <x:v>4</x:v>
      </x:c>
      <x:c r="F57" s="23" t="n">
        <x:f>IF('Setup'!$B$22&gt;0,"",IF(E57=0,0,INDEX('Setup'!$B$9:$B$13,MIN(5,B57-'Processes'!N6+1))))</x:f>
        <x:v>0.9</x:v>
      </x:c>
      <x:c r="G57" s="22" t="n">
        <x:f>IF('Setup'!$B$22&gt;0,"",MIN(D57,'Processes'!M6))</x:f>
        <x:v>24</x:v>
      </x:c>
      <x:c r="H57" s="22" t="n">
        <x:f>IF('Setup'!$B$22&gt;0,"",MIN(E57,MAX(0,'Processes'!M6-G57)))</x:f>
        <x:v>4</x:v>
      </x:c>
      <x:c r="I57" s="23" t="n">
        <x:f>IF('Setup'!$B$22&gt;0,"",1-'Processes'!G6-'Setup'!C18)</x:f>
        <x:v>0.92</x:v>
      </x:c>
      <x:c r="J57" s="22" t="n">
        <x:f>IF('Setup'!$B$22&gt;0,"",(G57+H57*F57)*I57*'Processes'!F6)</x:f>
        <x:v>165.04800000000003</x:v>
      </x:c>
      <x:c r="K57" s="22" t="n">
        <x:f>IF('Setup'!$B$22&gt;0,"",(G57+H57*F57)*I57*V57*'Processes'!H6)</x:f>
        <x:v>22.852800000000002</x:v>
      </x:c>
      <x:c r="L57" s="22" t="n">
        <x:f>IF('Setup'!$B$22&gt;0,"",(J57+K57)*'Processes'!C6*'Setup'!D18/'Processes'!B6)</x:f>
        <x:v>9395.04</x:v>
      </x:c>
      <x:c r="M57" s="22" t="n">
        <x:f>IF('Setup'!$B$22&gt;0,"",'Processes'!L6*'Setup'!E18)</x:f>
        <x:v>10000</x:v>
      </x:c>
      <x:c r="N57" s="24" t="n">
        <x:f>IF('Setup'!$B$22&gt;0,"",INT(MIN(L57,M57)))</x:f>
        <x:v>9395</x:v>
      </x:c>
      <x:c r="O57" s="25" t="n">
        <x:f>IF('Setup'!$B$22&gt;0,"",(D57+E57)*I57*'Processes'!E6*'Processes'!J6)</x:f>
        <x:v>4945.92</x:v>
      </x:c>
      <x:c r="P57" s="25" t="n">
        <x:f>IF('Setup'!$B$22&gt;0,"",(D57+E57)*I57*V57*'Processes'!J6*'Processes'!K6)</x:f>
        <x:v>927.36</x:v>
      </x:c>
      <x:c r="Q57" s="25" t="n">
        <x:f>IF('Setup'!$B$22&gt;0,"",Z57-AA57)</x:f>
        <x:v>1633.9199999999992</x:v>
      </x:c>
      <x:c r="R57" s="22" t="n">
        <x:f>IF('Setup'!$B$22&gt;0,"",D57+E57)</x:f>
        <x:v>28</x:v>
      </x:c>
      <x:c r="S57" s="22" t="n">
        <x:f>IF('Setup'!$B$22&gt;0,"",'Processes'!M6)</x:f>
        <x:v>32</x:v>
      </x:c>
      <x:c r="T57" s="22" t="n">
        <x:f>IF('Setup'!$B$22&gt;0,"",MAX(0,R57-S57))</x:f>
        <x:v>0</x:v>
      </x:c>
      <x:c r="U57" s="22" t="n">
        <x:f>IF('Setup'!$B$22&gt;0,"",'Staffing'!F11)</x:f>
        <x:v>1</x:v>
      </x:c>
      <x:c r="V57" s="22" t="n">
        <x:f>IF('Setup'!$B$22&gt;0,"",MIN(U57,'Processes'!I6))</x:f>
        <x:v>1</x:v>
      </x:c>
      <x:c r="W57" s="22" t="n">
        <x:f>IF('Setup'!$B$22&gt;0,"",MAX(0,U57-V57))</x:f>
        <x:v>0</x:v>
      </x:c>
      <x:c r="X57" s="22" t="n">
        <x:f>IF('Setup'!$B$22&gt;0,"",I57*('Processes'!F6+V57*'Processes'!H6)*'Processes'!C6*'Setup'!D18/'Processes'!B6)</x:f>
        <x:v>340.40000000000003</x:v>
      </x:c>
      <x:c r="Y57" s="22" t="n">
        <x:f>IF('Setup'!$B$22&gt;0,"",H57*F57)</x:f>
        <x:v>3.6</x:v>
      </x:c>
      <x:c r="Z57" s="25" t="n">
        <x:f>IF('Setup'!$B$22&gt;0,"",O57+P57)</x:f>
        <x:v>5873.28</x:v>
      </x:c>
      <x:c r="AA57" s="25" t="n">
        <x:f>IF('Setup'!$B$22&gt;0,"",'Processes'!D6*I57*'Processes'!E6*'Processes'!J6)</x:f>
        <x:v>4239.360000000001</x:v>
      </x:c>
    </x:row>
    <x:row r="58" ht="23" customHeight="1">
      <x:c r="A58" s="1" t="str">
        <x:v>Upside</x:v>
      </x:c>
      <x:c r="B58" s="1" t="n">
        <x:v>6</x:v>
      </x:c>
      <x:c r="C58" s="1" t="str">
        <x:f>'Processes'!A7</x:f>
        <x:v>Pack</x:v>
      </x:c>
      <x:c r="D58" s="22" t="n">
        <x:f>IF('Setup'!$B$22&gt;0,"",'Staffing'!D11)</x:f>
        <x:v>18</x:v>
      </x:c>
      <x:c r="E58" s="22" t="n">
        <x:f>IF('Setup'!$B$22&gt;0,"",IF(B58&gt;='Processes'!N7,'Processes'!O7,0))</x:f>
        <x:v>4</x:v>
      </x:c>
      <x:c r="F58" s="23" t="n">
        <x:f>IF('Setup'!$B$22&gt;0,"",IF(E58=0,0,INDEX('Setup'!$B$9:$B$13,MIN(5,B58-'Processes'!N7+1))))</x:f>
        <x:v>0.9</x:v>
      </x:c>
      <x:c r="G58" s="22" t="n">
        <x:f>IF('Setup'!$B$22&gt;0,"",MIN(D58,'Processes'!M7))</x:f>
        <x:v>18</x:v>
      </x:c>
      <x:c r="H58" s="22" t="n">
        <x:f>IF('Setup'!$B$22&gt;0,"",MIN(E58,MAX(0,'Processes'!M7-G58)))</x:f>
        <x:v>4</x:v>
      </x:c>
      <x:c r="I58" s="23" t="n">
        <x:f>IF('Setup'!$B$22&gt;0,"",1-'Processes'!G7-'Setup'!C18)</x:f>
        <x:v>0.92</x:v>
      </x:c>
      <x:c r="J58" s="22" t="n">
        <x:f>IF('Setup'!$B$22&gt;0,"",(G58+H58*F58)*I58*'Processes'!F7)</x:f>
        <x:v>129.16800000000003</x:v>
      </x:c>
      <x:c r="K58" s="22" t="n">
        <x:f>IF('Setup'!$B$22&gt;0,"",(G58+H58*F58)*I58*V58*'Processes'!H7)</x:f>
        <x:v>17.884800000000002</x:v>
      </x:c>
      <x:c r="L58" s="22" t="n">
        <x:f>IF('Setup'!$B$22&gt;0,"",(J58+K58)*'Processes'!C7*'Setup'!D18/'Processes'!B7)</x:f>
        <x:v>8823.168000000003</x:v>
      </x:c>
      <x:c r="M58" s="22" t="n">
        <x:f>IF('Setup'!$B$22&gt;0,"",'Processes'!L7*'Setup'!E18)</x:f>
        <x:v>9000</x:v>
      </x:c>
      <x:c r="N58" s="24" t="n">
        <x:f>IF('Setup'!$B$22&gt;0,"",INT(MIN(L58,M58)))</x:f>
        <x:v>8823</x:v>
      </x:c>
      <x:c r="O58" s="25" t="n">
        <x:f>IF('Setup'!$B$22&gt;0,"",(D58+E58)*I58*'Processes'!E7*'Processes'!J7)</x:f>
        <x:v>3886.0800000000004</x:v>
      </x:c>
      <x:c r="P58" s="25" t="n">
        <x:f>IF('Setup'!$B$22&gt;0,"",(D58+E58)*I58*V58*'Processes'!J7*'Processes'!K7)</x:f>
        <x:v>728.6400000000001</x:v>
      </x:c>
      <x:c r="Q58" s="25" t="n">
        <x:f>IF('Setup'!$B$22&gt;0,"",Z58-AA58)</x:f>
        <x:v>1435.1999999999998</x:v>
      </x:c>
      <x:c r="R58" s="22" t="n">
        <x:f>IF('Setup'!$B$22&gt;0,"",D58+E58)</x:f>
        <x:v>22</x:v>
      </x:c>
      <x:c r="S58" s="22" t="n">
        <x:f>IF('Setup'!$B$22&gt;0,"",'Processes'!M7)</x:f>
        <x:v>26</x:v>
      </x:c>
      <x:c r="T58" s="22" t="n">
        <x:f>IF('Setup'!$B$22&gt;0,"",MAX(0,R58-S58))</x:f>
        <x:v>0</x:v>
      </x:c>
      <x:c r="U58" s="22" t="n">
        <x:f>IF('Setup'!$B$22&gt;0,"",'Staffing'!G11)</x:f>
        <x:v>1</x:v>
      </x:c>
      <x:c r="V58" s="22" t="n">
        <x:f>IF('Setup'!$B$22&gt;0,"",MIN(U58,'Processes'!I7))</x:f>
        <x:v>1</x:v>
      </x:c>
      <x:c r="W58" s="22" t="n">
        <x:f>IF('Setup'!$B$22&gt;0,"",MAX(0,U58-V58))</x:f>
        <x:v>0</x:v>
      </x:c>
      <x:c r="X58" s="22" t="n">
        <x:f>IF('Setup'!$B$22&gt;0,"",I58*('Processes'!F7+V58*'Processes'!H7)*'Processes'!C7*'Setup'!D18/'Processes'!B7)</x:f>
        <x:v>408.48</x:v>
      </x:c>
      <x:c r="Y58" s="22" t="n">
        <x:f>IF('Setup'!$B$22&gt;0,"",H58*F58)</x:f>
        <x:v>3.6</x:v>
      </x:c>
      <x:c r="Z58" s="25" t="n">
        <x:f>IF('Setup'!$B$22&gt;0,"",O58+P58)</x:f>
        <x:v>4614.72</x:v>
      </x:c>
      <x:c r="AA58" s="25" t="n">
        <x:f>IF('Setup'!$B$22&gt;0,"",'Processes'!D7*I58*'Processes'!E7*'Processes'!J7)</x:f>
        <x:v>3179.5200000000004</x:v>
      </x:c>
    </x:row>
    <x:row r="59" ht="23" customHeight="1">
      <x:c r="A59" s="1" t="str">
        <x:v>Upside</x:v>
      </x:c>
      <x:c r="B59" s="1" t="n">
        <x:v>6</x:v>
      </x:c>
      <x:c r="C59" s="1" t="str">
        <x:f>'Processes'!A8</x:f>
        <x:v>Ship</x:v>
      </x:c>
      <x:c r="D59" s="22" t="n">
        <x:f>IF('Setup'!$B$22&gt;0,"",'Staffing'!E11)</x:f>
        <x:v>10</x:v>
      </x:c>
      <x:c r="E59" s="22" t="n">
        <x:f>IF('Setup'!$B$22&gt;0,"",IF(B59&gt;='Processes'!N8,'Processes'!O8,0))</x:f>
        <x:v>3</x:v>
      </x:c>
      <x:c r="F59" s="23" t="n">
        <x:f>IF('Setup'!$B$22&gt;0,"",IF(E59=0,0,INDEX('Setup'!$B$9:$B$13,MIN(5,B59-'Processes'!N8+1))))</x:f>
        <x:v>0.9</x:v>
      </x:c>
      <x:c r="G59" s="22" t="n">
        <x:f>IF('Setup'!$B$22&gt;0,"",MIN(D59,'Processes'!M8))</x:f>
        <x:v>10</x:v>
      </x:c>
      <x:c r="H59" s="22" t="n">
        <x:f>IF('Setup'!$B$22&gt;0,"",MIN(E59,MAX(0,'Processes'!M8-G59)))</x:f>
        <x:v>3</x:v>
      </x:c>
      <x:c r="I59" s="23" t="n">
        <x:f>IF('Setup'!$B$22&gt;0,"",1-'Processes'!G8-'Setup'!C18)</x:f>
        <x:v>0.92</x:v>
      </x:c>
      <x:c r="J59" s="22" t="n">
        <x:f>IF('Setup'!$B$22&gt;0,"",(G59+H59*F59)*I59*'Processes'!F8)</x:f>
        <x:v>75.946</x:v>
      </x:c>
      <x:c r="K59" s="22" t="n">
        <x:f>IF('Setup'!$B$22&gt;0,"",(G59+H59*F59)*I59*V59*'Processes'!H8)</x:f>
        <x:v>10.5156</x:v>
      </x:c>
      <x:c r="L59" s="22" t="n">
        <x:f>IF('Setup'!$B$22&gt;0,"",(J59+K59)*'Processes'!C8*'Setup'!D18/'Processes'!B8)</x:f>
        <x:v>8646.16</x:v>
      </x:c>
      <x:c r="M59" s="22" t="n">
        <x:f>IF('Setup'!$B$22&gt;0,"",'Processes'!L8*'Setup'!E18)</x:f>
        <x:v>8000</x:v>
      </x:c>
      <x:c r="N59" s="24" t="n">
        <x:f>IF('Setup'!$B$22&gt;0,"",INT(MIN(L59,M59)))</x:f>
        <x:v>8000</x:v>
      </x:c>
      <x:c r="O59" s="25" t="n">
        <x:f>IF('Setup'!$B$22&gt;0,"",(D59+E59)*I59*'Processes'!E8*'Processes'!J8)</x:f>
        <x:v>2487.6800000000003</x:v>
      </x:c>
      <x:c r="P59" s="25" t="n">
        <x:f>IF('Setup'!$B$22&gt;0,"",(D59+E59)*I59*V59*'Processes'!J8*'Processes'!K8)</x:f>
        <x:v>466.44000000000005</x:v>
      </x:c>
      <x:c r="Q59" s="25" t="n">
        <x:f>IF('Setup'!$B$22&gt;0,"",Z59-AA59)</x:f>
        <x:v>1040.5200000000002</x:v>
      </x:c>
      <x:c r="R59" s="22" t="n">
        <x:f>IF('Setup'!$B$22&gt;0,"",D59+E59)</x:f>
        <x:v>13</x:v>
      </x:c>
      <x:c r="S59" s="22" t="n">
        <x:f>IF('Setup'!$B$22&gt;0,"",'Processes'!M8)</x:f>
        <x:v>16</x:v>
      </x:c>
      <x:c r="T59" s="22" t="n">
        <x:f>IF('Setup'!$B$22&gt;0,"",MAX(0,R59-S59))</x:f>
        <x:v>0</x:v>
      </x:c>
      <x:c r="U59" s="22" t="n">
        <x:f>IF('Setup'!$B$22&gt;0,"",'Staffing'!H11)</x:f>
        <x:v>1</x:v>
      </x:c>
      <x:c r="V59" s="22" t="n">
        <x:f>IF('Setup'!$B$22&gt;0,"",MIN(U59,'Processes'!I8))</x:f>
        <x:v>1</x:v>
      </x:c>
      <x:c r="W59" s="22" t="n">
        <x:f>IF('Setup'!$B$22&gt;0,"",MAX(0,U59-V59))</x:f>
        <x:v>0</x:v>
      </x:c>
      <x:c r="X59" s="22" t="n">
        <x:f>IF('Setup'!$B$22&gt;0,"",I59*('Processes'!F8+V59*'Processes'!H8)*'Processes'!C8*'Setup'!D18/'Processes'!B8)</x:f>
        <x:v>680.8000000000001</x:v>
      </x:c>
      <x:c r="Y59" s="22" t="n">
        <x:f>IF('Setup'!$B$22&gt;0,"",H59*F59)</x:f>
        <x:v>2.7</x:v>
      </x:c>
      <x:c r="Z59" s="25" t="n">
        <x:f>IF('Setup'!$B$22&gt;0,"",O59+P59)</x:f>
        <x:v>2954.1200000000003</x:v>
      </x:c>
      <x:c r="AA59" s="25" t="n">
        <x:f>IF('Setup'!$B$22&gt;0,"",'Processes'!D8*I59*'Processes'!E8*'Processes'!J8)</x:f>
        <x:v>1913.6000000000001</x:v>
      </x:c>
    </x:row>
    <x:row r="60" ht="23" customHeight="1">
      <x:c r="A60" s="1" t="str">
        <x:v>Upside</x:v>
      </x:c>
      <x:c r="B60" s="1" t="n">
        <x:v>7</x:v>
      </x:c>
      <x:c r="C60" s="1" t="str">
        <x:f>'Processes'!A6</x:f>
        <x:v>Pick</x:v>
      </x:c>
      <x:c r="D60" s="22" t="n">
        <x:f>IF('Setup'!$B$22&gt;0,"",'Staffing'!C12)</x:f>
        <x:v>24</x:v>
      </x:c>
      <x:c r="E60" s="22" t="n">
        <x:f>IF('Setup'!$B$22&gt;0,"",IF(B60&gt;='Processes'!N6,'Processes'!O6,0))</x:f>
        <x:v>4</x:v>
      </x:c>
      <x:c r="F60" s="23" t="n">
        <x:f>IF('Setup'!$B$22&gt;0,"",IF(E60=0,0,INDEX('Setup'!$B$9:$B$13,MIN(5,B60-'Processes'!N6+1))))</x:f>
        <x:v>1</x:v>
      </x:c>
      <x:c r="G60" s="22" t="n">
        <x:f>IF('Setup'!$B$22&gt;0,"",MIN(D60,'Processes'!M6))</x:f>
        <x:v>24</x:v>
      </x:c>
      <x:c r="H60" s="22" t="n">
        <x:f>IF('Setup'!$B$22&gt;0,"",MIN(E60,MAX(0,'Processes'!M6-G60)))</x:f>
        <x:v>4</x:v>
      </x:c>
      <x:c r="I60" s="23" t="n">
        <x:f>IF('Setup'!$B$22&gt;0,"",1-'Processes'!G6-'Setup'!C18)</x:f>
        <x:v>0.92</x:v>
      </x:c>
      <x:c r="J60" s="22" t="n">
        <x:f>IF('Setup'!$B$22&gt;0,"",(G60+H60*F60)*I60*'Processes'!F6)</x:f>
        <x:v>167.44</x:v>
      </x:c>
      <x:c r="K60" s="22" t="n">
        <x:f>IF('Setup'!$B$22&gt;0,"",(G60+H60*F60)*I60*V60*'Processes'!H6)</x:f>
        <x:v>23.184</x:v>
      </x:c>
      <x:c r="L60" s="22" t="n">
        <x:f>IF('Setup'!$B$22&gt;0,"",(J60+K60)*'Processes'!C6*'Setup'!D18/'Processes'!B6)</x:f>
        <x:v>9531.199999999999</x:v>
      </x:c>
      <x:c r="M60" s="22" t="n">
        <x:f>IF('Setup'!$B$22&gt;0,"",'Processes'!L6*'Setup'!E18)</x:f>
        <x:v>10000</x:v>
      </x:c>
      <x:c r="N60" s="24" t="n">
        <x:f>IF('Setup'!$B$22&gt;0,"",INT(MIN(L60,M60)))</x:f>
        <x:v>9531</x:v>
      </x:c>
      <x:c r="O60" s="25" t="n">
        <x:f>IF('Setup'!$B$22&gt;0,"",(D60+E60)*I60*'Processes'!E6*'Processes'!J6)</x:f>
        <x:v>4945.92</x:v>
      </x:c>
      <x:c r="P60" s="25" t="n">
        <x:f>IF('Setup'!$B$22&gt;0,"",(D60+E60)*I60*V60*'Processes'!J6*'Processes'!K6)</x:f>
        <x:v>927.36</x:v>
      </x:c>
      <x:c r="Q60" s="25" t="n">
        <x:f>IF('Setup'!$B$22&gt;0,"",Z60-AA60)</x:f>
        <x:v>1633.9199999999992</x:v>
      </x:c>
      <x:c r="R60" s="22" t="n">
        <x:f>IF('Setup'!$B$22&gt;0,"",D60+E60)</x:f>
        <x:v>28</x:v>
      </x:c>
      <x:c r="S60" s="22" t="n">
        <x:f>IF('Setup'!$B$22&gt;0,"",'Processes'!M6)</x:f>
        <x:v>32</x:v>
      </x:c>
      <x:c r="T60" s="22" t="n">
        <x:f>IF('Setup'!$B$22&gt;0,"",MAX(0,R60-S60))</x:f>
        <x:v>0</x:v>
      </x:c>
      <x:c r="U60" s="22" t="n">
        <x:f>IF('Setup'!$B$22&gt;0,"",'Staffing'!F12)</x:f>
        <x:v>1</x:v>
      </x:c>
      <x:c r="V60" s="22" t="n">
        <x:f>IF('Setup'!$B$22&gt;0,"",MIN(U60,'Processes'!I6))</x:f>
        <x:v>1</x:v>
      </x:c>
      <x:c r="W60" s="22" t="n">
        <x:f>IF('Setup'!$B$22&gt;0,"",MAX(0,U60-V60))</x:f>
        <x:v>0</x:v>
      </x:c>
      <x:c r="X60" s="22" t="n">
        <x:f>IF('Setup'!$B$22&gt;0,"",I60*('Processes'!F6+V60*'Processes'!H6)*'Processes'!C6*'Setup'!D18/'Processes'!B6)</x:f>
        <x:v>340.40000000000003</x:v>
      </x:c>
      <x:c r="Y60" s="22" t="n">
        <x:f>IF('Setup'!$B$22&gt;0,"",H60*F60)</x:f>
        <x:v>4</x:v>
      </x:c>
      <x:c r="Z60" s="25" t="n">
        <x:f>IF('Setup'!$B$22&gt;0,"",O60+P60)</x:f>
        <x:v>5873.28</x:v>
      </x:c>
      <x:c r="AA60" s="25" t="n">
        <x:f>IF('Setup'!$B$22&gt;0,"",'Processes'!D6*I60*'Processes'!E6*'Processes'!J6)</x:f>
        <x:v>4239.360000000001</x:v>
      </x:c>
    </x:row>
    <x:row r="61" ht="23" customHeight="1">
      <x:c r="A61" s="1" t="str">
        <x:v>Upside</x:v>
      </x:c>
      <x:c r="B61" s="1" t="n">
        <x:v>7</x:v>
      </x:c>
      <x:c r="C61" s="1" t="str">
        <x:f>'Processes'!A7</x:f>
        <x:v>Pack</x:v>
      </x:c>
      <x:c r="D61" s="22" t="n">
        <x:f>IF('Setup'!$B$22&gt;0,"",'Staffing'!D12)</x:f>
        <x:v>18</x:v>
      </x:c>
      <x:c r="E61" s="22" t="n">
        <x:f>IF('Setup'!$B$22&gt;0,"",IF(B61&gt;='Processes'!N7,'Processes'!O7,0))</x:f>
        <x:v>4</x:v>
      </x:c>
      <x:c r="F61" s="23" t="n">
        <x:f>IF('Setup'!$B$22&gt;0,"",IF(E61=0,0,INDEX('Setup'!$B$9:$B$13,MIN(5,B61-'Processes'!N7+1))))</x:f>
        <x:v>1</x:v>
      </x:c>
      <x:c r="G61" s="22" t="n">
        <x:f>IF('Setup'!$B$22&gt;0,"",MIN(D61,'Processes'!M7))</x:f>
        <x:v>18</x:v>
      </x:c>
      <x:c r="H61" s="22" t="n">
        <x:f>IF('Setup'!$B$22&gt;0,"",MIN(E61,MAX(0,'Processes'!M7-G61)))</x:f>
        <x:v>4</x:v>
      </x:c>
      <x:c r="I61" s="23" t="n">
        <x:f>IF('Setup'!$B$22&gt;0,"",1-'Processes'!G7-'Setup'!C18)</x:f>
        <x:v>0.92</x:v>
      </x:c>
      <x:c r="J61" s="22" t="n">
        <x:f>IF('Setup'!$B$22&gt;0,"",(G61+H61*F61)*I61*'Processes'!F7)</x:f>
        <x:v>131.56</x:v>
      </x:c>
      <x:c r="K61" s="22" t="n">
        <x:f>IF('Setup'!$B$22&gt;0,"",(G61+H61*F61)*I61*V61*'Processes'!H7)</x:f>
        <x:v>18.216</x:v>
      </x:c>
      <x:c r="L61" s="22" t="n">
        <x:f>IF('Setup'!$B$22&gt;0,"",(J61+K61)*'Processes'!C7*'Setup'!D18/'Processes'!B7)</x:f>
        <x:v>8986.560000000001</x:v>
      </x:c>
      <x:c r="M61" s="22" t="n">
        <x:f>IF('Setup'!$B$22&gt;0,"",'Processes'!L7*'Setup'!E18)</x:f>
        <x:v>9000</x:v>
      </x:c>
      <x:c r="N61" s="24" t="n">
        <x:f>IF('Setup'!$B$22&gt;0,"",INT(MIN(L61,M61)))</x:f>
        <x:v>8986</x:v>
      </x:c>
      <x:c r="O61" s="25" t="n">
        <x:f>IF('Setup'!$B$22&gt;0,"",(D61+E61)*I61*'Processes'!E7*'Processes'!J7)</x:f>
        <x:v>3886.0800000000004</x:v>
      </x:c>
      <x:c r="P61" s="25" t="n">
        <x:f>IF('Setup'!$B$22&gt;0,"",(D61+E61)*I61*V61*'Processes'!J7*'Processes'!K7)</x:f>
        <x:v>728.6400000000001</x:v>
      </x:c>
      <x:c r="Q61" s="25" t="n">
        <x:f>IF('Setup'!$B$22&gt;0,"",Z61-AA61)</x:f>
        <x:v>1435.1999999999998</x:v>
      </x:c>
      <x:c r="R61" s="22" t="n">
        <x:f>IF('Setup'!$B$22&gt;0,"",D61+E61)</x:f>
        <x:v>22</x:v>
      </x:c>
      <x:c r="S61" s="22" t="n">
        <x:f>IF('Setup'!$B$22&gt;0,"",'Processes'!M7)</x:f>
        <x:v>26</x:v>
      </x:c>
      <x:c r="T61" s="22" t="n">
        <x:f>IF('Setup'!$B$22&gt;0,"",MAX(0,R61-S61))</x:f>
        <x:v>0</x:v>
      </x:c>
      <x:c r="U61" s="22" t="n">
        <x:f>IF('Setup'!$B$22&gt;0,"",'Staffing'!G12)</x:f>
        <x:v>1</x:v>
      </x:c>
      <x:c r="V61" s="22" t="n">
        <x:f>IF('Setup'!$B$22&gt;0,"",MIN(U61,'Processes'!I7))</x:f>
        <x:v>1</x:v>
      </x:c>
      <x:c r="W61" s="22" t="n">
        <x:f>IF('Setup'!$B$22&gt;0,"",MAX(0,U61-V61))</x:f>
        <x:v>0</x:v>
      </x:c>
      <x:c r="X61" s="22" t="n">
        <x:f>IF('Setup'!$B$22&gt;0,"",I61*('Processes'!F7+V61*'Processes'!H7)*'Processes'!C7*'Setup'!D18/'Processes'!B7)</x:f>
        <x:v>408.48</x:v>
      </x:c>
      <x:c r="Y61" s="22" t="n">
        <x:f>IF('Setup'!$B$22&gt;0,"",H61*F61)</x:f>
        <x:v>4</x:v>
      </x:c>
      <x:c r="Z61" s="25" t="n">
        <x:f>IF('Setup'!$B$22&gt;0,"",O61+P61)</x:f>
        <x:v>4614.72</x:v>
      </x:c>
      <x:c r="AA61" s="25" t="n">
        <x:f>IF('Setup'!$B$22&gt;0,"",'Processes'!D7*I61*'Processes'!E7*'Processes'!J7)</x:f>
        <x:v>3179.5200000000004</x:v>
      </x:c>
    </x:row>
    <x:row r="62" ht="23" customHeight="1">
      <x:c r="A62" s="1" t="str">
        <x:v>Upside</x:v>
      </x:c>
      <x:c r="B62" s="1" t="n">
        <x:v>7</x:v>
      </x:c>
      <x:c r="C62" s="1" t="str">
        <x:f>'Processes'!A8</x:f>
        <x:v>Ship</x:v>
      </x:c>
      <x:c r="D62" s="22" t="n">
        <x:f>IF('Setup'!$B$22&gt;0,"",'Staffing'!E12)</x:f>
        <x:v>10</x:v>
      </x:c>
      <x:c r="E62" s="22" t="n">
        <x:f>IF('Setup'!$B$22&gt;0,"",IF(B62&gt;='Processes'!N8,'Processes'!O8,0))</x:f>
        <x:v>3</x:v>
      </x:c>
      <x:c r="F62" s="23" t="n">
        <x:f>IF('Setup'!$B$22&gt;0,"",IF(E62=0,0,INDEX('Setup'!$B$9:$B$13,MIN(5,B62-'Processes'!N8+1))))</x:f>
        <x:v>1</x:v>
      </x:c>
      <x:c r="G62" s="22" t="n">
        <x:f>IF('Setup'!$B$22&gt;0,"",MIN(D62,'Processes'!M8))</x:f>
        <x:v>10</x:v>
      </x:c>
      <x:c r="H62" s="22" t="n">
        <x:f>IF('Setup'!$B$22&gt;0,"",MIN(E62,MAX(0,'Processes'!M8-G62)))</x:f>
        <x:v>3</x:v>
      </x:c>
      <x:c r="I62" s="23" t="n">
        <x:f>IF('Setup'!$B$22&gt;0,"",1-'Processes'!G8-'Setup'!C18)</x:f>
        <x:v>0.92</x:v>
      </x:c>
      <x:c r="J62" s="22" t="n">
        <x:f>IF('Setup'!$B$22&gt;0,"",(G62+H62*F62)*I62*'Processes'!F8)</x:f>
        <x:v>77.74000000000001</x:v>
      </x:c>
      <x:c r="K62" s="22" t="n">
        <x:f>IF('Setup'!$B$22&gt;0,"",(G62+H62*F62)*I62*V62*'Processes'!H8)</x:f>
        <x:v>10.764000000000001</x:v>
      </x:c>
      <x:c r="L62" s="22" t="n">
        <x:f>IF('Setup'!$B$22&gt;0,"",(J62+K62)*'Processes'!C8*'Setup'!D18/'Processes'!B8)</x:f>
        <x:v>8850.4</x:v>
      </x:c>
      <x:c r="M62" s="22" t="n">
        <x:f>IF('Setup'!$B$22&gt;0,"",'Processes'!L8*'Setup'!E18)</x:f>
        <x:v>8000</x:v>
      </x:c>
      <x:c r="N62" s="24" t="n">
        <x:f>IF('Setup'!$B$22&gt;0,"",INT(MIN(L62,M62)))</x:f>
        <x:v>8000</x:v>
      </x:c>
      <x:c r="O62" s="25" t="n">
        <x:f>IF('Setup'!$B$22&gt;0,"",(D62+E62)*I62*'Processes'!E8*'Processes'!J8)</x:f>
        <x:v>2487.6800000000003</x:v>
      </x:c>
      <x:c r="P62" s="25" t="n">
        <x:f>IF('Setup'!$B$22&gt;0,"",(D62+E62)*I62*V62*'Processes'!J8*'Processes'!K8)</x:f>
        <x:v>466.44000000000005</x:v>
      </x:c>
      <x:c r="Q62" s="25" t="n">
        <x:f>IF('Setup'!$B$22&gt;0,"",Z62-AA62)</x:f>
        <x:v>1040.5200000000002</x:v>
      </x:c>
      <x:c r="R62" s="22" t="n">
        <x:f>IF('Setup'!$B$22&gt;0,"",D62+E62)</x:f>
        <x:v>13</x:v>
      </x:c>
      <x:c r="S62" s="22" t="n">
        <x:f>IF('Setup'!$B$22&gt;0,"",'Processes'!M8)</x:f>
        <x:v>16</x:v>
      </x:c>
      <x:c r="T62" s="22" t="n">
        <x:f>IF('Setup'!$B$22&gt;0,"",MAX(0,R62-S62))</x:f>
        <x:v>0</x:v>
      </x:c>
      <x:c r="U62" s="22" t="n">
        <x:f>IF('Setup'!$B$22&gt;0,"",'Staffing'!H12)</x:f>
        <x:v>1</x:v>
      </x:c>
      <x:c r="V62" s="22" t="n">
        <x:f>IF('Setup'!$B$22&gt;0,"",MIN(U62,'Processes'!I8))</x:f>
        <x:v>1</x:v>
      </x:c>
      <x:c r="W62" s="22" t="n">
        <x:f>IF('Setup'!$B$22&gt;0,"",MAX(0,U62-V62))</x:f>
        <x:v>0</x:v>
      </x:c>
      <x:c r="X62" s="22" t="n">
        <x:f>IF('Setup'!$B$22&gt;0,"",I62*('Processes'!F8+V62*'Processes'!H8)*'Processes'!C8*'Setup'!D18/'Processes'!B8)</x:f>
        <x:v>680.8000000000001</x:v>
      </x:c>
      <x:c r="Y62" s="22" t="n">
        <x:f>IF('Setup'!$B$22&gt;0,"",H62*F62)</x:f>
        <x:v>3</x:v>
      </x:c>
      <x:c r="Z62" s="25" t="n">
        <x:f>IF('Setup'!$B$22&gt;0,"",O62+P62)</x:f>
        <x:v>2954.1200000000003</x:v>
      </x:c>
      <x:c r="AA62" s="25" t="n">
        <x:f>IF('Setup'!$B$22&gt;0,"",'Processes'!D8*I62*'Processes'!E8*'Processes'!J8)</x:f>
        <x:v>1913.6000000000001</x:v>
      </x:c>
    </x:row>
    <x:row r="63" ht="23" customHeight="1">
      <x:c r="A63" s="1" t="str">
        <x:v>Upside</x:v>
      </x:c>
      <x:c r="B63" s="1" t="n">
        <x:v>8</x:v>
      </x:c>
      <x:c r="C63" s="1" t="str">
        <x:f>'Processes'!A6</x:f>
        <x:v>Pick</x:v>
      </x:c>
      <x:c r="D63" s="22" t="n">
        <x:f>IF('Setup'!$B$22&gt;0,"",'Staffing'!C13)</x:f>
        <x:v>24</x:v>
      </x:c>
      <x:c r="E63" s="22" t="n">
        <x:f>IF('Setup'!$B$22&gt;0,"",IF(B63&gt;='Processes'!N6,'Processes'!O6,0))</x:f>
        <x:v>4</x:v>
      </x:c>
      <x:c r="F63" s="23" t="n">
        <x:f>IF('Setup'!$B$22&gt;0,"",IF(E63=0,0,INDEX('Setup'!$B$9:$B$13,MIN(5,B63-'Processes'!N6+1))))</x:f>
        <x:v>1</x:v>
      </x:c>
      <x:c r="G63" s="22" t="n">
        <x:f>IF('Setup'!$B$22&gt;0,"",MIN(D63,'Processes'!M6))</x:f>
        <x:v>24</x:v>
      </x:c>
      <x:c r="H63" s="22" t="n">
        <x:f>IF('Setup'!$B$22&gt;0,"",MIN(E63,MAX(0,'Processes'!M6-G63)))</x:f>
        <x:v>4</x:v>
      </x:c>
      <x:c r="I63" s="23" t="n">
        <x:f>IF('Setup'!$B$22&gt;0,"",1-'Processes'!G6-'Setup'!C18)</x:f>
        <x:v>0.92</x:v>
      </x:c>
      <x:c r="J63" s="22" t="n">
        <x:f>IF('Setup'!$B$22&gt;0,"",(G63+H63*F63)*I63*'Processes'!F6)</x:f>
        <x:v>167.44</x:v>
      </x:c>
      <x:c r="K63" s="22" t="n">
        <x:f>IF('Setup'!$B$22&gt;0,"",(G63+H63*F63)*I63*V63*'Processes'!H6)</x:f>
        <x:v>23.184</x:v>
      </x:c>
      <x:c r="L63" s="22" t="n">
        <x:f>IF('Setup'!$B$22&gt;0,"",(J63+K63)*'Processes'!C6*'Setup'!D18/'Processes'!B6)</x:f>
        <x:v>9531.199999999999</x:v>
      </x:c>
      <x:c r="M63" s="22" t="n">
        <x:f>IF('Setup'!$B$22&gt;0,"",'Processes'!L6*'Setup'!E18)</x:f>
        <x:v>10000</x:v>
      </x:c>
      <x:c r="N63" s="24" t="n">
        <x:f>IF('Setup'!$B$22&gt;0,"",INT(MIN(L63,M63)))</x:f>
        <x:v>9531</x:v>
      </x:c>
      <x:c r="O63" s="25" t="n">
        <x:f>IF('Setup'!$B$22&gt;0,"",(D63+E63)*I63*'Processes'!E6*'Processes'!J6)</x:f>
        <x:v>4945.92</x:v>
      </x:c>
      <x:c r="P63" s="25" t="n">
        <x:f>IF('Setup'!$B$22&gt;0,"",(D63+E63)*I63*V63*'Processes'!J6*'Processes'!K6)</x:f>
        <x:v>927.36</x:v>
      </x:c>
      <x:c r="Q63" s="25" t="n">
        <x:f>IF('Setup'!$B$22&gt;0,"",Z63-AA63)</x:f>
        <x:v>1633.9199999999992</x:v>
      </x:c>
      <x:c r="R63" s="22" t="n">
        <x:f>IF('Setup'!$B$22&gt;0,"",D63+E63)</x:f>
        <x:v>28</x:v>
      </x:c>
      <x:c r="S63" s="22" t="n">
        <x:f>IF('Setup'!$B$22&gt;0,"",'Processes'!M6)</x:f>
        <x:v>32</x:v>
      </x:c>
      <x:c r="T63" s="22" t="n">
        <x:f>IF('Setup'!$B$22&gt;0,"",MAX(0,R63-S63))</x:f>
        <x:v>0</x:v>
      </x:c>
      <x:c r="U63" s="22" t="n">
        <x:f>IF('Setup'!$B$22&gt;0,"",'Staffing'!F13)</x:f>
        <x:v>1</x:v>
      </x:c>
      <x:c r="V63" s="22" t="n">
        <x:f>IF('Setup'!$B$22&gt;0,"",MIN(U63,'Processes'!I6))</x:f>
        <x:v>1</x:v>
      </x:c>
      <x:c r="W63" s="22" t="n">
        <x:f>IF('Setup'!$B$22&gt;0,"",MAX(0,U63-V63))</x:f>
        <x:v>0</x:v>
      </x:c>
      <x:c r="X63" s="22" t="n">
        <x:f>IF('Setup'!$B$22&gt;0,"",I63*('Processes'!F6+V63*'Processes'!H6)*'Processes'!C6*'Setup'!D18/'Processes'!B6)</x:f>
        <x:v>340.40000000000003</x:v>
      </x:c>
      <x:c r="Y63" s="22" t="n">
        <x:f>IF('Setup'!$B$22&gt;0,"",H63*F63)</x:f>
        <x:v>4</x:v>
      </x:c>
      <x:c r="Z63" s="25" t="n">
        <x:f>IF('Setup'!$B$22&gt;0,"",O63+P63)</x:f>
        <x:v>5873.28</x:v>
      </x:c>
      <x:c r="AA63" s="25" t="n">
        <x:f>IF('Setup'!$B$22&gt;0,"",'Processes'!D6*I63*'Processes'!E6*'Processes'!J6)</x:f>
        <x:v>4239.360000000001</x:v>
      </x:c>
    </x:row>
    <x:row r="64" ht="23" customHeight="1">
      <x:c r="A64" s="1" t="str">
        <x:v>Upside</x:v>
      </x:c>
      <x:c r="B64" s="1" t="n">
        <x:v>8</x:v>
      </x:c>
      <x:c r="C64" s="1" t="str">
        <x:f>'Processes'!A7</x:f>
        <x:v>Pack</x:v>
      </x:c>
      <x:c r="D64" s="22" t="n">
        <x:f>IF('Setup'!$B$22&gt;0,"",'Staffing'!D13)</x:f>
        <x:v>18</x:v>
      </x:c>
      <x:c r="E64" s="22" t="n">
        <x:f>IF('Setup'!$B$22&gt;0,"",IF(B64&gt;='Processes'!N7,'Processes'!O7,0))</x:f>
        <x:v>4</x:v>
      </x:c>
      <x:c r="F64" s="23" t="n">
        <x:f>IF('Setup'!$B$22&gt;0,"",IF(E64=0,0,INDEX('Setup'!$B$9:$B$13,MIN(5,B64-'Processes'!N7+1))))</x:f>
        <x:v>1</x:v>
      </x:c>
      <x:c r="G64" s="22" t="n">
        <x:f>IF('Setup'!$B$22&gt;0,"",MIN(D64,'Processes'!M7))</x:f>
        <x:v>18</x:v>
      </x:c>
      <x:c r="H64" s="22" t="n">
        <x:f>IF('Setup'!$B$22&gt;0,"",MIN(E64,MAX(0,'Processes'!M7-G64)))</x:f>
        <x:v>4</x:v>
      </x:c>
      <x:c r="I64" s="23" t="n">
        <x:f>IF('Setup'!$B$22&gt;0,"",1-'Processes'!G7-'Setup'!C18)</x:f>
        <x:v>0.92</x:v>
      </x:c>
      <x:c r="J64" s="22" t="n">
        <x:f>IF('Setup'!$B$22&gt;0,"",(G64+H64*F64)*I64*'Processes'!F7)</x:f>
        <x:v>131.56</x:v>
      </x:c>
      <x:c r="K64" s="22" t="n">
        <x:f>IF('Setup'!$B$22&gt;0,"",(G64+H64*F64)*I64*V64*'Processes'!H7)</x:f>
        <x:v>18.216</x:v>
      </x:c>
      <x:c r="L64" s="22" t="n">
        <x:f>IF('Setup'!$B$22&gt;0,"",(J64+K64)*'Processes'!C7*'Setup'!D18/'Processes'!B7)</x:f>
        <x:v>8986.560000000001</x:v>
      </x:c>
      <x:c r="M64" s="22" t="n">
        <x:f>IF('Setup'!$B$22&gt;0,"",'Processes'!L7*'Setup'!E18)</x:f>
        <x:v>9000</x:v>
      </x:c>
      <x:c r="N64" s="24" t="n">
        <x:f>IF('Setup'!$B$22&gt;0,"",INT(MIN(L64,M64)))</x:f>
        <x:v>8986</x:v>
      </x:c>
      <x:c r="O64" s="25" t="n">
        <x:f>IF('Setup'!$B$22&gt;0,"",(D64+E64)*I64*'Processes'!E7*'Processes'!J7)</x:f>
        <x:v>3886.0800000000004</x:v>
      </x:c>
      <x:c r="P64" s="25" t="n">
        <x:f>IF('Setup'!$B$22&gt;0,"",(D64+E64)*I64*V64*'Processes'!J7*'Processes'!K7)</x:f>
        <x:v>728.6400000000001</x:v>
      </x:c>
      <x:c r="Q64" s="25" t="n">
        <x:f>IF('Setup'!$B$22&gt;0,"",Z64-AA64)</x:f>
        <x:v>1435.1999999999998</x:v>
      </x:c>
      <x:c r="R64" s="22" t="n">
        <x:f>IF('Setup'!$B$22&gt;0,"",D64+E64)</x:f>
        <x:v>22</x:v>
      </x:c>
      <x:c r="S64" s="22" t="n">
        <x:f>IF('Setup'!$B$22&gt;0,"",'Processes'!M7)</x:f>
        <x:v>26</x:v>
      </x:c>
      <x:c r="T64" s="22" t="n">
        <x:f>IF('Setup'!$B$22&gt;0,"",MAX(0,R64-S64))</x:f>
        <x:v>0</x:v>
      </x:c>
      <x:c r="U64" s="22" t="n">
        <x:f>IF('Setup'!$B$22&gt;0,"",'Staffing'!G13)</x:f>
        <x:v>1</x:v>
      </x:c>
      <x:c r="V64" s="22" t="n">
        <x:f>IF('Setup'!$B$22&gt;0,"",MIN(U64,'Processes'!I7))</x:f>
        <x:v>1</x:v>
      </x:c>
      <x:c r="W64" s="22" t="n">
        <x:f>IF('Setup'!$B$22&gt;0,"",MAX(0,U64-V64))</x:f>
        <x:v>0</x:v>
      </x:c>
      <x:c r="X64" s="22" t="n">
        <x:f>IF('Setup'!$B$22&gt;0,"",I64*('Processes'!F7+V64*'Processes'!H7)*'Processes'!C7*'Setup'!D18/'Processes'!B7)</x:f>
        <x:v>408.48</x:v>
      </x:c>
      <x:c r="Y64" s="22" t="n">
        <x:f>IF('Setup'!$B$22&gt;0,"",H64*F64)</x:f>
        <x:v>4</x:v>
      </x:c>
      <x:c r="Z64" s="25" t="n">
        <x:f>IF('Setup'!$B$22&gt;0,"",O64+P64)</x:f>
        <x:v>4614.72</x:v>
      </x:c>
      <x:c r="AA64" s="25" t="n">
        <x:f>IF('Setup'!$B$22&gt;0,"",'Processes'!D7*I64*'Processes'!E7*'Processes'!J7)</x:f>
        <x:v>3179.5200000000004</x:v>
      </x:c>
    </x:row>
    <x:row r="65" ht="23" customHeight="1">
      <x:c r="A65" s="1" t="str">
        <x:v>Upside</x:v>
      </x:c>
      <x:c r="B65" s="1" t="n">
        <x:v>8</x:v>
      </x:c>
      <x:c r="C65" s="1" t="str">
        <x:f>'Processes'!A8</x:f>
        <x:v>Ship</x:v>
      </x:c>
      <x:c r="D65" s="22" t="n">
        <x:f>IF('Setup'!$B$22&gt;0,"",'Staffing'!E13)</x:f>
        <x:v>10</x:v>
      </x:c>
      <x:c r="E65" s="22" t="n">
        <x:f>IF('Setup'!$B$22&gt;0,"",IF(B65&gt;='Processes'!N8,'Processes'!O8,0))</x:f>
        <x:v>3</x:v>
      </x:c>
      <x:c r="F65" s="23" t="n">
        <x:f>IF('Setup'!$B$22&gt;0,"",IF(E65=0,0,INDEX('Setup'!$B$9:$B$13,MIN(5,B65-'Processes'!N8+1))))</x:f>
        <x:v>1</x:v>
      </x:c>
      <x:c r="G65" s="22" t="n">
        <x:f>IF('Setup'!$B$22&gt;0,"",MIN(D65,'Processes'!M8))</x:f>
        <x:v>10</x:v>
      </x:c>
      <x:c r="H65" s="22" t="n">
        <x:f>IF('Setup'!$B$22&gt;0,"",MIN(E65,MAX(0,'Processes'!M8-G65)))</x:f>
        <x:v>3</x:v>
      </x:c>
      <x:c r="I65" s="23" t="n">
        <x:f>IF('Setup'!$B$22&gt;0,"",1-'Processes'!G8-'Setup'!C18)</x:f>
        <x:v>0.92</x:v>
      </x:c>
      <x:c r="J65" s="22" t="n">
        <x:f>IF('Setup'!$B$22&gt;0,"",(G65+H65*F65)*I65*'Processes'!F8)</x:f>
        <x:v>77.74000000000001</x:v>
      </x:c>
      <x:c r="K65" s="22" t="n">
        <x:f>IF('Setup'!$B$22&gt;0,"",(G65+H65*F65)*I65*V65*'Processes'!H8)</x:f>
        <x:v>10.764000000000001</x:v>
      </x:c>
      <x:c r="L65" s="22" t="n">
        <x:f>IF('Setup'!$B$22&gt;0,"",(J65+K65)*'Processes'!C8*'Setup'!D18/'Processes'!B8)</x:f>
        <x:v>8850.4</x:v>
      </x:c>
      <x:c r="M65" s="22" t="n">
        <x:f>IF('Setup'!$B$22&gt;0,"",'Processes'!L8*'Setup'!E18)</x:f>
        <x:v>8000</x:v>
      </x:c>
      <x:c r="N65" s="24" t="n">
        <x:f>IF('Setup'!$B$22&gt;0,"",INT(MIN(L65,M65)))</x:f>
        <x:v>8000</x:v>
      </x:c>
      <x:c r="O65" s="25" t="n">
        <x:f>IF('Setup'!$B$22&gt;0,"",(D65+E65)*I65*'Processes'!E8*'Processes'!J8)</x:f>
        <x:v>2487.6800000000003</x:v>
      </x:c>
      <x:c r="P65" s="25" t="n">
        <x:f>IF('Setup'!$B$22&gt;0,"",(D65+E65)*I65*V65*'Processes'!J8*'Processes'!K8)</x:f>
        <x:v>466.44000000000005</x:v>
      </x:c>
      <x:c r="Q65" s="25" t="n">
        <x:f>IF('Setup'!$B$22&gt;0,"",Z65-AA65)</x:f>
        <x:v>1040.5200000000002</x:v>
      </x:c>
      <x:c r="R65" s="22" t="n">
        <x:f>IF('Setup'!$B$22&gt;0,"",D65+E65)</x:f>
        <x:v>13</x:v>
      </x:c>
      <x:c r="S65" s="22" t="n">
        <x:f>IF('Setup'!$B$22&gt;0,"",'Processes'!M8)</x:f>
        <x:v>16</x:v>
      </x:c>
      <x:c r="T65" s="22" t="n">
        <x:f>IF('Setup'!$B$22&gt;0,"",MAX(0,R65-S65))</x:f>
        <x:v>0</x:v>
      </x:c>
      <x:c r="U65" s="22" t="n">
        <x:f>IF('Setup'!$B$22&gt;0,"",'Staffing'!H13)</x:f>
        <x:v>1</x:v>
      </x:c>
      <x:c r="V65" s="22" t="n">
        <x:f>IF('Setup'!$B$22&gt;0,"",MIN(U65,'Processes'!I8))</x:f>
        <x:v>1</x:v>
      </x:c>
      <x:c r="W65" s="22" t="n">
        <x:f>IF('Setup'!$B$22&gt;0,"",MAX(0,U65-V65))</x:f>
        <x:v>0</x:v>
      </x:c>
      <x:c r="X65" s="22" t="n">
        <x:f>IF('Setup'!$B$22&gt;0,"",I65*('Processes'!F8+V65*'Processes'!H8)*'Processes'!C8*'Setup'!D18/'Processes'!B8)</x:f>
        <x:v>680.8000000000001</x:v>
      </x:c>
      <x:c r="Y65" s="22" t="n">
        <x:f>IF('Setup'!$B$22&gt;0,"",H65*F65)</x:f>
        <x:v>3</x:v>
      </x:c>
      <x:c r="Z65" s="25" t="n">
        <x:f>IF('Setup'!$B$22&gt;0,"",O65+P65)</x:f>
        <x:v>2954.1200000000003</x:v>
      </x:c>
      <x:c r="AA65" s="25" t="n">
        <x:f>IF('Setup'!$B$22&gt;0,"",'Processes'!D8*I65*'Processes'!E8*'Processes'!J8)</x:f>
        <x:v>1913.6000000000001</x:v>
      </x:c>
    </x:row>
    <x:row r="66" ht="23" customHeight="1">
      <x:c r="A66" s="1" t="str">
        <x:v>Upside</x:v>
      </x:c>
      <x:c r="B66" s="1" t="n">
        <x:v>9</x:v>
      </x:c>
      <x:c r="C66" s="1" t="str">
        <x:f>'Processes'!A6</x:f>
        <x:v>Pick</x:v>
      </x:c>
      <x:c r="D66" s="22" t="n">
        <x:f>IF('Setup'!$B$22&gt;0,"",'Staffing'!C14)</x:f>
        <x:v>24</x:v>
      </x:c>
      <x:c r="E66" s="22" t="n">
        <x:f>IF('Setup'!$B$22&gt;0,"",IF(B66&gt;='Processes'!N6,'Processes'!O6,0))</x:f>
        <x:v>4</x:v>
      </x:c>
      <x:c r="F66" s="23" t="n">
        <x:f>IF('Setup'!$B$22&gt;0,"",IF(E66=0,0,INDEX('Setup'!$B$9:$B$13,MIN(5,B66-'Processes'!N6+1))))</x:f>
        <x:v>1</x:v>
      </x:c>
      <x:c r="G66" s="22" t="n">
        <x:f>IF('Setup'!$B$22&gt;0,"",MIN(D66,'Processes'!M6))</x:f>
        <x:v>24</x:v>
      </x:c>
      <x:c r="H66" s="22" t="n">
        <x:f>IF('Setup'!$B$22&gt;0,"",MIN(E66,MAX(0,'Processes'!M6-G66)))</x:f>
        <x:v>4</x:v>
      </x:c>
      <x:c r="I66" s="23" t="n">
        <x:f>IF('Setup'!$B$22&gt;0,"",1-'Processes'!G6-'Setup'!C18)</x:f>
        <x:v>0.92</x:v>
      </x:c>
      <x:c r="J66" s="22" t="n">
        <x:f>IF('Setup'!$B$22&gt;0,"",(G66+H66*F66)*I66*'Processes'!F6)</x:f>
        <x:v>167.44</x:v>
      </x:c>
      <x:c r="K66" s="22" t="n">
        <x:f>IF('Setup'!$B$22&gt;0,"",(G66+H66*F66)*I66*V66*'Processes'!H6)</x:f>
        <x:v>23.184</x:v>
      </x:c>
      <x:c r="L66" s="22" t="n">
        <x:f>IF('Setup'!$B$22&gt;0,"",(J66+K66)*'Processes'!C6*'Setup'!D18/'Processes'!B6)</x:f>
        <x:v>9531.199999999999</x:v>
      </x:c>
      <x:c r="M66" s="22" t="n">
        <x:f>IF('Setup'!$B$22&gt;0,"",'Processes'!L6*'Setup'!E18)</x:f>
        <x:v>10000</x:v>
      </x:c>
      <x:c r="N66" s="24" t="n">
        <x:f>IF('Setup'!$B$22&gt;0,"",INT(MIN(L66,M66)))</x:f>
        <x:v>9531</x:v>
      </x:c>
      <x:c r="O66" s="25" t="n">
        <x:f>IF('Setup'!$B$22&gt;0,"",(D66+E66)*I66*'Processes'!E6*'Processes'!J6)</x:f>
        <x:v>4945.92</x:v>
      </x:c>
      <x:c r="P66" s="25" t="n">
        <x:f>IF('Setup'!$B$22&gt;0,"",(D66+E66)*I66*V66*'Processes'!J6*'Processes'!K6)</x:f>
        <x:v>927.36</x:v>
      </x:c>
      <x:c r="Q66" s="25" t="n">
        <x:f>IF('Setup'!$B$22&gt;0,"",Z66-AA66)</x:f>
        <x:v>1633.9199999999992</x:v>
      </x:c>
      <x:c r="R66" s="22" t="n">
        <x:f>IF('Setup'!$B$22&gt;0,"",D66+E66)</x:f>
        <x:v>28</x:v>
      </x:c>
      <x:c r="S66" s="22" t="n">
        <x:f>IF('Setup'!$B$22&gt;0,"",'Processes'!M6)</x:f>
        <x:v>32</x:v>
      </x:c>
      <x:c r="T66" s="22" t="n">
        <x:f>IF('Setup'!$B$22&gt;0,"",MAX(0,R66-S66))</x:f>
        <x:v>0</x:v>
      </x:c>
      <x:c r="U66" s="22" t="n">
        <x:f>IF('Setup'!$B$22&gt;0,"",'Staffing'!F14)</x:f>
        <x:v>1</x:v>
      </x:c>
      <x:c r="V66" s="22" t="n">
        <x:f>IF('Setup'!$B$22&gt;0,"",MIN(U66,'Processes'!I6))</x:f>
        <x:v>1</x:v>
      </x:c>
      <x:c r="W66" s="22" t="n">
        <x:f>IF('Setup'!$B$22&gt;0,"",MAX(0,U66-V66))</x:f>
        <x:v>0</x:v>
      </x:c>
      <x:c r="X66" s="22" t="n">
        <x:f>IF('Setup'!$B$22&gt;0,"",I66*('Processes'!F6+V66*'Processes'!H6)*'Processes'!C6*'Setup'!D18/'Processes'!B6)</x:f>
        <x:v>340.40000000000003</x:v>
      </x:c>
      <x:c r="Y66" s="22" t="n">
        <x:f>IF('Setup'!$B$22&gt;0,"",H66*F66)</x:f>
        <x:v>4</x:v>
      </x:c>
      <x:c r="Z66" s="25" t="n">
        <x:f>IF('Setup'!$B$22&gt;0,"",O66+P66)</x:f>
        <x:v>5873.28</x:v>
      </x:c>
      <x:c r="AA66" s="25" t="n">
        <x:f>IF('Setup'!$B$22&gt;0,"",'Processes'!D6*I66*'Processes'!E6*'Processes'!J6)</x:f>
        <x:v>4239.360000000001</x:v>
      </x:c>
    </x:row>
    <x:row r="67" ht="23" customHeight="1">
      <x:c r="A67" s="1" t="str">
        <x:v>Upside</x:v>
      </x:c>
      <x:c r="B67" s="1" t="n">
        <x:v>9</x:v>
      </x:c>
      <x:c r="C67" s="1" t="str">
        <x:f>'Processes'!A7</x:f>
        <x:v>Pack</x:v>
      </x:c>
      <x:c r="D67" s="22" t="n">
        <x:f>IF('Setup'!$B$22&gt;0,"",'Staffing'!D14)</x:f>
        <x:v>18</x:v>
      </x:c>
      <x:c r="E67" s="22" t="n">
        <x:f>IF('Setup'!$B$22&gt;0,"",IF(B67&gt;='Processes'!N7,'Processes'!O7,0))</x:f>
        <x:v>4</x:v>
      </x:c>
      <x:c r="F67" s="23" t="n">
        <x:f>IF('Setup'!$B$22&gt;0,"",IF(E67=0,0,INDEX('Setup'!$B$9:$B$13,MIN(5,B67-'Processes'!N7+1))))</x:f>
        <x:v>1</x:v>
      </x:c>
      <x:c r="G67" s="22" t="n">
        <x:f>IF('Setup'!$B$22&gt;0,"",MIN(D67,'Processes'!M7))</x:f>
        <x:v>18</x:v>
      </x:c>
      <x:c r="H67" s="22" t="n">
        <x:f>IF('Setup'!$B$22&gt;0,"",MIN(E67,MAX(0,'Processes'!M7-G67)))</x:f>
        <x:v>4</x:v>
      </x:c>
      <x:c r="I67" s="23" t="n">
        <x:f>IF('Setup'!$B$22&gt;0,"",1-'Processes'!G7-'Setup'!C18)</x:f>
        <x:v>0.92</x:v>
      </x:c>
      <x:c r="J67" s="22" t="n">
        <x:f>IF('Setup'!$B$22&gt;0,"",(G67+H67*F67)*I67*'Processes'!F7)</x:f>
        <x:v>131.56</x:v>
      </x:c>
      <x:c r="K67" s="22" t="n">
        <x:f>IF('Setup'!$B$22&gt;0,"",(G67+H67*F67)*I67*V67*'Processes'!H7)</x:f>
        <x:v>18.216</x:v>
      </x:c>
      <x:c r="L67" s="22" t="n">
        <x:f>IF('Setup'!$B$22&gt;0,"",(J67+K67)*'Processes'!C7*'Setup'!D18/'Processes'!B7)</x:f>
        <x:v>8986.560000000001</x:v>
      </x:c>
      <x:c r="M67" s="22" t="n">
        <x:f>IF('Setup'!$B$22&gt;0,"",'Processes'!L7*'Setup'!E18)</x:f>
        <x:v>9000</x:v>
      </x:c>
      <x:c r="N67" s="24" t="n">
        <x:f>IF('Setup'!$B$22&gt;0,"",INT(MIN(L67,M67)))</x:f>
        <x:v>8986</x:v>
      </x:c>
      <x:c r="O67" s="25" t="n">
        <x:f>IF('Setup'!$B$22&gt;0,"",(D67+E67)*I67*'Processes'!E7*'Processes'!J7)</x:f>
        <x:v>3886.0800000000004</x:v>
      </x:c>
      <x:c r="P67" s="25" t="n">
        <x:f>IF('Setup'!$B$22&gt;0,"",(D67+E67)*I67*V67*'Processes'!J7*'Processes'!K7)</x:f>
        <x:v>728.6400000000001</x:v>
      </x:c>
      <x:c r="Q67" s="25" t="n">
        <x:f>IF('Setup'!$B$22&gt;0,"",Z67-AA67)</x:f>
        <x:v>1435.1999999999998</x:v>
      </x:c>
      <x:c r="R67" s="22" t="n">
        <x:f>IF('Setup'!$B$22&gt;0,"",D67+E67)</x:f>
        <x:v>22</x:v>
      </x:c>
      <x:c r="S67" s="22" t="n">
        <x:f>IF('Setup'!$B$22&gt;0,"",'Processes'!M7)</x:f>
        <x:v>26</x:v>
      </x:c>
      <x:c r="T67" s="22" t="n">
        <x:f>IF('Setup'!$B$22&gt;0,"",MAX(0,R67-S67))</x:f>
        <x:v>0</x:v>
      </x:c>
      <x:c r="U67" s="22" t="n">
        <x:f>IF('Setup'!$B$22&gt;0,"",'Staffing'!G14)</x:f>
        <x:v>1</x:v>
      </x:c>
      <x:c r="V67" s="22" t="n">
        <x:f>IF('Setup'!$B$22&gt;0,"",MIN(U67,'Processes'!I7))</x:f>
        <x:v>1</x:v>
      </x:c>
      <x:c r="W67" s="22" t="n">
        <x:f>IF('Setup'!$B$22&gt;0,"",MAX(0,U67-V67))</x:f>
        <x:v>0</x:v>
      </x:c>
      <x:c r="X67" s="22" t="n">
        <x:f>IF('Setup'!$B$22&gt;0,"",I67*('Processes'!F7+V67*'Processes'!H7)*'Processes'!C7*'Setup'!D18/'Processes'!B7)</x:f>
        <x:v>408.48</x:v>
      </x:c>
      <x:c r="Y67" s="22" t="n">
        <x:f>IF('Setup'!$B$22&gt;0,"",H67*F67)</x:f>
        <x:v>4</x:v>
      </x:c>
      <x:c r="Z67" s="25" t="n">
        <x:f>IF('Setup'!$B$22&gt;0,"",O67+P67)</x:f>
        <x:v>4614.72</x:v>
      </x:c>
      <x:c r="AA67" s="25" t="n">
        <x:f>IF('Setup'!$B$22&gt;0,"",'Processes'!D7*I67*'Processes'!E7*'Processes'!J7)</x:f>
        <x:v>3179.5200000000004</x:v>
      </x:c>
    </x:row>
    <x:row r="68" ht="23" customHeight="1">
      <x:c r="A68" s="1" t="str">
        <x:v>Upside</x:v>
      </x:c>
      <x:c r="B68" s="1" t="n">
        <x:v>9</x:v>
      </x:c>
      <x:c r="C68" s="1" t="str">
        <x:f>'Processes'!A8</x:f>
        <x:v>Ship</x:v>
      </x:c>
      <x:c r="D68" s="22" t="n">
        <x:f>IF('Setup'!$B$22&gt;0,"",'Staffing'!E14)</x:f>
        <x:v>10</x:v>
      </x:c>
      <x:c r="E68" s="22" t="n">
        <x:f>IF('Setup'!$B$22&gt;0,"",IF(B68&gt;='Processes'!N8,'Processes'!O8,0))</x:f>
        <x:v>3</x:v>
      </x:c>
      <x:c r="F68" s="23" t="n">
        <x:f>IF('Setup'!$B$22&gt;0,"",IF(E68=0,0,INDEX('Setup'!$B$9:$B$13,MIN(5,B68-'Processes'!N8+1))))</x:f>
        <x:v>1</x:v>
      </x:c>
      <x:c r="G68" s="22" t="n">
        <x:f>IF('Setup'!$B$22&gt;0,"",MIN(D68,'Processes'!M8))</x:f>
        <x:v>10</x:v>
      </x:c>
      <x:c r="H68" s="22" t="n">
        <x:f>IF('Setup'!$B$22&gt;0,"",MIN(E68,MAX(0,'Processes'!M8-G68)))</x:f>
        <x:v>3</x:v>
      </x:c>
      <x:c r="I68" s="23" t="n">
        <x:f>IF('Setup'!$B$22&gt;0,"",1-'Processes'!G8-'Setup'!C18)</x:f>
        <x:v>0.92</x:v>
      </x:c>
      <x:c r="J68" s="22" t="n">
        <x:f>IF('Setup'!$B$22&gt;0,"",(G68+H68*F68)*I68*'Processes'!F8)</x:f>
        <x:v>77.74000000000001</x:v>
      </x:c>
      <x:c r="K68" s="22" t="n">
        <x:f>IF('Setup'!$B$22&gt;0,"",(G68+H68*F68)*I68*V68*'Processes'!H8)</x:f>
        <x:v>10.764000000000001</x:v>
      </x:c>
      <x:c r="L68" s="22" t="n">
        <x:f>IF('Setup'!$B$22&gt;0,"",(J68+K68)*'Processes'!C8*'Setup'!D18/'Processes'!B8)</x:f>
        <x:v>8850.4</x:v>
      </x:c>
      <x:c r="M68" s="22" t="n">
        <x:f>IF('Setup'!$B$22&gt;0,"",'Processes'!L8*'Setup'!E18)</x:f>
        <x:v>8000</x:v>
      </x:c>
      <x:c r="N68" s="24" t="n">
        <x:f>IF('Setup'!$B$22&gt;0,"",INT(MIN(L68,M68)))</x:f>
        <x:v>8000</x:v>
      </x:c>
      <x:c r="O68" s="25" t="n">
        <x:f>IF('Setup'!$B$22&gt;0,"",(D68+E68)*I68*'Processes'!E8*'Processes'!J8)</x:f>
        <x:v>2487.6800000000003</x:v>
      </x:c>
      <x:c r="P68" s="25" t="n">
        <x:f>IF('Setup'!$B$22&gt;0,"",(D68+E68)*I68*V68*'Processes'!J8*'Processes'!K8)</x:f>
        <x:v>466.44000000000005</x:v>
      </x:c>
      <x:c r="Q68" s="25" t="n">
        <x:f>IF('Setup'!$B$22&gt;0,"",Z68-AA68)</x:f>
        <x:v>1040.5200000000002</x:v>
      </x:c>
      <x:c r="R68" s="22" t="n">
        <x:f>IF('Setup'!$B$22&gt;0,"",D68+E68)</x:f>
        <x:v>13</x:v>
      </x:c>
      <x:c r="S68" s="22" t="n">
        <x:f>IF('Setup'!$B$22&gt;0,"",'Processes'!M8)</x:f>
        <x:v>16</x:v>
      </x:c>
      <x:c r="T68" s="22" t="n">
        <x:f>IF('Setup'!$B$22&gt;0,"",MAX(0,R68-S68))</x:f>
        <x:v>0</x:v>
      </x:c>
      <x:c r="U68" s="22" t="n">
        <x:f>IF('Setup'!$B$22&gt;0,"",'Staffing'!H14)</x:f>
        <x:v>1</x:v>
      </x:c>
      <x:c r="V68" s="22" t="n">
        <x:f>IF('Setup'!$B$22&gt;0,"",MIN(U68,'Processes'!I8))</x:f>
        <x:v>1</x:v>
      </x:c>
      <x:c r="W68" s="22" t="n">
        <x:f>IF('Setup'!$B$22&gt;0,"",MAX(0,U68-V68))</x:f>
        <x:v>0</x:v>
      </x:c>
      <x:c r="X68" s="22" t="n">
        <x:f>IF('Setup'!$B$22&gt;0,"",I68*('Processes'!F8+V68*'Processes'!H8)*'Processes'!C8*'Setup'!D18/'Processes'!B8)</x:f>
        <x:v>680.8000000000001</x:v>
      </x:c>
      <x:c r="Y68" s="22" t="n">
        <x:f>IF('Setup'!$B$22&gt;0,"",H68*F68)</x:f>
        <x:v>3</x:v>
      </x:c>
      <x:c r="Z68" s="25" t="n">
        <x:f>IF('Setup'!$B$22&gt;0,"",O68+P68)</x:f>
        <x:v>2954.1200000000003</x:v>
      </x:c>
      <x:c r="AA68" s="25" t="n">
        <x:f>IF('Setup'!$B$22&gt;0,"",'Processes'!D8*I68*'Processes'!E8*'Processes'!J8)</x:f>
        <x:v>1913.6000000000001</x:v>
      </x:c>
    </x:row>
    <x:row r="69" ht="23" customHeight="1">
      <x:c r="A69" s="1" t="str">
        <x:v>Upside</x:v>
      </x:c>
      <x:c r="B69" s="1" t="n">
        <x:v>10</x:v>
      </x:c>
      <x:c r="C69" s="1" t="str">
        <x:f>'Processes'!A6</x:f>
        <x:v>Pick</x:v>
      </x:c>
      <x:c r="D69" s="22" t="n">
        <x:f>IF('Setup'!$B$22&gt;0,"",'Staffing'!C15)</x:f>
        <x:v>24</x:v>
      </x:c>
      <x:c r="E69" s="22" t="n">
        <x:f>IF('Setup'!$B$22&gt;0,"",IF(B69&gt;='Processes'!N6,'Processes'!O6,0))</x:f>
        <x:v>4</x:v>
      </x:c>
      <x:c r="F69" s="23" t="n">
        <x:f>IF('Setup'!$B$22&gt;0,"",IF(E69=0,0,INDEX('Setup'!$B$9:$B$13,MIN(5,B69-'Processes'!N6+1))))</x:f>
        <x:v>1</x:v>
      </x:c>
      <x:c r="G69" s="22" t="n">
        <x:f>IF('Setup'!$B$22&gt;0,"",MIN(D69,'Processes'!M6))</x:f>
        <x:v>24</x:v>
      </x:c>
      <x:c r="H69" s="22" t="n">
        <x:f>IF('Setup'!$B$22&gt;0,"",MIN(E69,MAX(0,'Processes'!M6-G69)))</x:f>
        <x:v>4</x:v>
      </x:c>
      <x:c r="I69" s="23" t="n">
        <x:f>IF('Setup'!$B$22&gt;0,"",1-'Processes'!G6-'Setup'!C18)</x:f>
        <x:v>0.92</x:v>
      </x:c>
      <x:c r="J69" s="22" t="n">
        <x:f>IF('Setup'!$B$22&gt;0,"",(G69+H69*F69)*I69*'Processes'!F6)</x:f>
        <x:v>167.44</x:v>
      </x:c>
      <x:c r="K69" s="22" t="n">
        <x:f>IF('Setup'!$B$22&gt;0,"",(G69+H69*F69)*I69*V69*'Processes'!H6)</x:f>
        <x:v>0</x:v>
      </x:c>
      <x:c r="L69" s="22" t="n">
        <x:f>IF('Setup'!$B$22&gt;0,"",(J69+K69)*'Processes'!C6*'Setup'!D18/'Processes'!B6)</x:f>
        <x:v>8372</x:v>
      </x:c>
      <x:c r="M69" s="22" t="n">
        <x:f>IF('Setup'!$B$22&gt;0,"",'Processes'!L6*'Setup'!E18)</x:f>
        <x:v>10000</x:v>
      </x:c>
      <x:c r="N69" s="24" t="n">
        <x:f>IF('Setup'!$B$22&gt;0,"",INT(MIN(L69,M69)))</x:f>
        <x:v>8372</x:v>
      </x:c>
      <x:c r="O69" s="25" t="n">
        <x:f>IF('Setup'!$B$22&gt;0,"",(D69+E69)*I69*'Processes'!E6*'Processes'!J6)</x:f>
        <x:v>4945.92</x:v>
      </x:c>
      <x:c r="P69" s="25" t="n">
        <x:f>IF('Setup'!$B$22&gt;0,"",(D69+E69)*I69*V69*'Processes'!J6*'Processes'!K6)</x:f>
        <x:v>0</x:v>
      </x:c>
      <x:c r="Q69" s="25" t="n">
        <x:f>IF('Setup'!$B$22&gt;0,"",Z69-AA69)</x:f>
        <x:v>706.5599999999995</x:v>
      </x:c>
      <x:c r="R69" s="22" t="n">
        <x:f>IF('Setup'!$B$22&gt;0,"",D69+E69)</x:f>
        <x:v>28</x:v>
      </x:c>
      <x:c r="S69" s="22" t="n">
        <x:f>IF('Setup'!$B$22&gt;0,"",'Processes'!M6)</x:f>
        <x:v>32</x:v>
      </x:c>
      <x:c r="T69" s="22" t="n">
        <x:f>IF('Setup'!$B$22&gt;0,"",MAX(0,R69-S69))</x:f>
        <x:v>0</x:v>
      </x:c>
      <x:c r="U69" s="22" t="n">
        <x:f>IF('Setup'!$B$22&gt;0,"",'Staffing'!F15)</x:f>
        <x:v>0</x:v>
      </x:c>
      <x:c r="V69" s="22" t="n">
        <x:f>IF('Setup'!$B$22&gt;0,"",MIN(U69,'Processes'!I6))</x:f>
        <x:v>0</x:v>
      </x:c>
      <x:c r="W69" s="22" t="n">
        <x:f>IF('Setup'!$B$22&gt;0,"",MAX(0,U69-V69))</x:f>
        <x:v>0</x:v>
      </x:c>
      <x:c r="X69" s="22" t="n">
        <x:f>IF('Setup'!$B$22&gt;0,"",I69*('Processes'!F6+V69*'Processes'!H6)*'Processes'!C6*'Setup'!D18/'Processes'!B6)</x:f>
        <x:v>299</x:v>
      </x:c>
      <x:c r="Y69" s="22" t="n">
        <x:f>IF('Setup'!$B$22&gt;0,"",H69*F69)</x:f>
        <x:v>4</x:v>
      </x:c>
      <x:c r="Z69" s="25" t="n">
        <x:f>IF('Setup'!$B$22&gt;0,"",O69+P69)</x:f>
        <x:v>4945.92</x:v>
      </x:c>
      <x:c r="AA69" s="25" t="n">
        <x:f>IF('Setup'!$B$22&gt;0,"",'Processes'!D6*I69*'Processes'!E6*'Processes'!J6)</x:f>
        <x:v>4239.360000000001</x:v>
      </x:c>
    </x:row>
    <x:row r="70" ht="23" customHeight="1">
      <x:c r="A70" s="1" t="str">
        <x:v>Upside</x:v>
      </x:c>
      <x:c r="B70" s="1" t="n">
        <x:v>10</x:v>
      </x:c>
      <x:c r="C70" s="1" t="str">
        <x:f>'Processes'!A7</x:f>
        <x:v>Pack</x:v>
      </x:c>
      <x:c r="D70" s="22" t="n">
        <x:f>IF('Setup'!$B$22&gt;0,"",'Staffing'!D15)</x:f>
        <x:v>18</x:v>
      </x:c>
      <x:c r="E70" s="22" t="n">
        <x:f>IF('Setup'!$B$22&gt;0,"",IF(B70&gt;='Processes'!N7,'Processes'!O7,0))</x:f>
        <x:v>4</x:v>
      </x:c>
      <x:c r="F70" s="23" t="n">
        <x:f>IF('Setup'!$B$22&gt;0,"",IF(E70=0,0,INDEX('Setup'!$B$9:$B$13,MIN(5,B70-'Processes'!N7+1))))</x:f>
        <x:v>1</x:v>
      </x:c>
      <x:c r="G70" s="22" t="n">
        <x:f>IF('Setup'!$B$22&gt;0,"",MIN(D70,'Processes'!M7))</x:f>
        <x:v>18</x:v>
      </x:c>
      <x:c r="H70" s="22" t="n">
        <x:f>IF('Setup'!$B$22&gt;0,"",MIN(E70,MAX(0,'Processes'!M7-G70)))</x:f>
        <x:v>4</x:v>
      </x:c>
      <x:c r="I70" s="23" t="n">
        <x:f>IF('Setup'!$B$22&gt;0,"",1-'Processes'!G7-'Setup'!C18)</x:f>
        <x:v>0.92</x:v>
      </x:c>
      <x:c r="J70" s="22" t="n">
        <x:f>IF('Setup'!$B$22&gt;0,"",(G70+H70*F70)*I70*'Processes'!F7)</x:f>
        <x:v>131.56</x:v>
      </x:c>
      <x:c r="K70" s="22" t="n">
        <x:f>IF('Setup'!$B$22&gt;0,"",(G70+H70*F70)*I70*V70*'Processes'!H7)</x:f>
        <x:v>0</x:v>
      </x:c>
      <x:c r="L70" s="22" t="n">
        <x:f>IF('Setup'!$B$22&gt;0,"",(J70+K70)*'Processes'!C7*'Setup'!D18/'Processes'!B7)</x:f>
        <x:v>7893.6</x:v>
      </x:c>
      <x:c r="M70" s="22" t="n">
        <x:f>IF('Setup'!$B$22&gt;0,"",'Processes'!L7*'Setup'!E18)</x:f>
        <x:v>9000</x:v>
      </x:c>
      <x:c r="N70" s="24" t="n">
        <x:f>IF('Setup'!$B$22&gt;0,"",INT(MIN(L70,M70)))</x:f>
        <x:v>7893</x:v>
      </x:c>
      <x:c r="O70" s="25" t="n">
        <x:f>IF('Setup'!$B$22&gt;0,"",(D70+E70)*I70*'Processes'!E7*'Processes'!J7)</x:f>
        <x:v>3886.0800000000004</x:v>
      </x:c>
      <x:c r="P70" s="25" t="n">
        <x:f>IF('Setup'!$B$22&gt;0,"",(D70+E70)*I70*V70*'Processes'!J7*'Processes'!K7)</x:f>
        <x:v>0</x:v>
      </x:c>
      <x:c r="Q70" s="25" t="n">
        <x:f>IF('Setup'!$B$22&gt;0,"",Z70-AA70)</x:f>
        <x:v>706.56</x:v>
      </x:c>
      <x:c r="R70" s="22" t="n">
        <x:f>IF('Setup'!$B$22&gt;0,"",D70+E70)</x:f>
        <x:v>22</x:v>
      </x:c>
      <x:c r="S70" s="22" t="n">
        <x:f>IF('Setup'!$B$22&gt;0,"",'Processes'!M7)</x:f>
        <x:v>26</x:v>
      </x:c>
      <x:c r="T70" s="22" t="n">
        <x:f>IF('Setup'!$B$22&gt;0,"",MAX(0,R70-S70))</x:f>
        <x:v>0</x:v>
      </x:c>
      <x:c r="U70" s="22" t="n">
        <x:f>IF('Setup'!$B$22&gt;0,"",'Staffing'!G15)</x:f>
        <x:v>0</x:v>
      </x:c>
      <x:c r="V70" s="22" t="n">
        <x:f>IF('Setup'!$B$22&gt;0,"",MIN(U70,'Processes'!I7))</x:f>
        <x:v>0</x:v>
      </x:c>
      <x:c r="W70" s="22" t="n">
        <x:f>IF('Setup'!$B$22&gt;0,"",MAX(0,U70-V70))</x:f>
        <x:v>0</x:v>
      </x:c>
      <x:c r="X70" s="22" t="n">
        <x:f>IF('Setup'!$B$22&gt;0,"",I70*('Processes'!F7+V70*'Processes'!H7)*'Processes'!C7*'Setup'!D18/'Processes'!B7)</x:f>
        <x:v>358.8</x:v>
      </x:c>
      <x:c r="Y70" s="22" t="n">
        <x:f>IF('Setup'!$B$22&gt;0,"",H70*F70)</x:f>
        <x:v>4</x:v>
      </x:c>
      <x:c r="Z70" s="25" t="n">
        <x:f>IF('Setup'!$B$22&gt;0,"",O70+P70)</x:f>
        <x:v>3886.0800000000004</x:v>
      </x:c>
      <x:c r="AA70" s="25" t="n">
        <x:f>IF('Setup'!$B$22&gt;0,"",'Processes'!D7*I70*'Processes'!E7*'Processes'!J7)</x:f>
        <x:v>3179.5200000000004</x:v>
      </x:c>
    </x:row>
    <x:row r="71" ht="23" customHeight="1">
      <x:c r="A71" s="1" t="str">
        <x:v>Upside</x:v>
      </x:c>
      <x:c r="B71" s="1" t="n">
        <x:v>10</x:v>
      </x:c>
      <x:c r="C71" s="1" t="str">
        <x:f>'Processes'!A8</x:f>
        <x:v>Ship</x:v>
      </x:c>
      <x:c r="D71" s="22" t="n">
        <x:f>IF('Setup'!$B$22&gt;0,"",'Staffing'!E15)</x:f>
        <x:v>10</x:v>
      </x:c>
      <x:c r="E71" s="22" t="n">
        <x:f>IF('Setup'!$B$22&gt;0,"",IF(B71&gt;='Processes'!N8,'Processes'!O8,0))</x:f>
        <x:v>3</x:v>
      </x:c>
      <x:c r="F71" s="23" t="n">
        <x:f>IF('Setup'!$B$22&gt;0,"",IF(E71=0,0,INDEX('Setup'!$B$9:$B$13,MIN(5,B71-'Processes'!N8+1))))</x:f>
        <x:v>1</x:v>
      </x:c>
      <x:c r="G71" s="22" t="n">
        <x:f>IF('Setup'!$B$22&gt;0,"",MIN(D71,'Processes'!M8))</x:f>
        <x:v>10</x:v>
      </x:c>
      <x:c r="H71" s="22" t="n">
        <x:f>IF('Setup'!$B$22&gt;0,"",MIN(E71,MAX(0,'Processes'!M8-G71)))</x:f>
        <x:v>3</x:v>
      </x:c>
      <x:c r="I71" s="23" t="n">
        <x:f>IF('Setup'!$B$22&gt;0,"",1-'Processes'!G8-'Setup'!C18)</x:f>
        <x:v>0.92</x:v>
      </x:c>
      <x:c r="J71" s="22" t="n">
        <x:f>IF('Setup'!$B$22&gt;0,"",(G71+H71*F71)*I71*'Processes'!F8)</x:f>
        <x:v>77.74000000000001</x:v>
      </x:c>
      <x:c r="K71" s="22" t="n">
        <x:f>IF('Setup'!$B$22&gt;0,"",(G71+H71*F71)*I71*V71*'Processes'!H8)</x:f>
        <x:v>0</x:v>
      </x:c>
      <x:c r="L71" s="22" t="n">
        <x:f>IF('Setup'!$B$22&gt;0,"",(J71+K71)*'Processes'!C8*'Setup'!D18/'Processes'!B8)</x:f>
        <x:v>7774.000000000001</x:v>
      </x:c>
      <x:c r="M71" s="22" t="n">
        <x:f>IF('Setup'!$B$22&gt;0,"",'Processes'!L8*'Setup'!E18)</x:f>
        <x:v>8000</x:v>
      </x:c>
      <x:c r="N71" s="24" t="n">
        <x:f>IF('Setup'!$B$22&gt;0,"",INT(MIN(L71,M71)))</x:f>
        <x:v>7774</x:v>
      </x:c>
      <x:c r="O71" s="25" t="n">
        <x:f>IF('Setup'!$B$22&gt;0,"",(D71+E71)*I71*'Processes'!E8*'Processes'!J8)</x:f>
        <x:v>2487.6800000000003</x:v>
      </x:c>
      <x:c r="P71" s="25" t="n">
        <x:f>IF('Setup'!$B$22&gt;0,"",(D71+E71)*I71*V71*'Processes'!J8*'Processes'!K8)</x:f>
        <x:v>0</x:v>
      </x:c>
      <x:c r="Q71" s="25" t="n">
        <x:f>IF('Setup'!$B$22&gt;0,"",Z71-AA71)</x:f>
        <x:v>574.0800000000002</x:v>
      </x:c>
      <x:c r="R71" s="22" t="n">
        <x:f>IF('Setup'!$B$22&gt;0,"",D71+E71)</x:f>
        <x:v>13</x:v>
      </x:c>
      <x:c r="S71" s="22" t="n">
        <x:f>IF('Setup'!$B$22&gt;0,"",'Processes'!M8)</x:f>
        <x:v>16</x:v>
      </x:c>
      <x:c r="T71" s="22" t="n">
        <x:f>IF('Setup'!$B$22&gt;0,"",MAX(0,R71-S71))</x:f>
        <x:v>0</x:v>
      </x:c>
      <x:c r="U71" s="22" t="n">
        <x:f>IF('Setup'!$B$22&gt;0,"",'Staffing'!H15)</x:f>
        <x:v>0</x:v>
      </x:c>
      <x:c r="V71" s="22" t="n">
        <x:f>IF('Setup'!$B$22&gt;0,"",MIN(U71,'Processes'!I8))</x:f>
        <x:v>0</x:v>
      </x:c>
      <x:c r="W71" s="22" t="n">
        <x:f>IF('Setup'!$B$22&gt;0,"",MAX(0,U71-V71))</x:f>
        <x:v>0</x:v>
      </x:c>
      <x:c r="X71" s="22" t="n">
        <x:f>IF('Setup'!$B$22&gt;0,"",I71*('Processes'!F8+V71*'Processes'!H8)*'Processes'!C8*'Setup'!D18/'Processes'!B8)</x:f>
        <x:v>598</x:v>
      </x:c>
      <x:c r="Y71" s="22" t="n">
        <x:f>IF('Setup'!$B$22&gt;0,"",H71*F71)</x:f>
        <x:v>3</x:v>
      </x:c>
      <x:c r="Z71" s="25" t="n">
        <x:f>IF('Setup'!$B$22&gt;0,"",O71+P71)</x:f>
        <x:v>2487.6800000000003</x:v>
      </x:c>
      <x:c r="AA71" s="25" t="n">
        <x:f>IF('Setup'!$B$22&gt;0,"",'Processes'!D8*I71*'Processes'!E8*'Processes'!J8)</x:f>
        <x:v>1913.6000000000001</x:v>
      </x:c>
    </x:row>
    <x:row r="72" ht="23" customHeight="1">
      <x:c r="A72" s="1" t="str">
        <x:v>Upside</x:v>
      </x:c>
      <x:c r="B72" s="1" t="n">
        <x:v>11</x:v>
      </x:c>
      <x:c r="C72" s="1" t="str">
        <x:f>'Processes'!A6</x:f>
        <x:v>Pick</x:v>
      </x:c>
      <x:c r="D72" s="22" t="n">
        <x:f>IF('Setup'!$B$22&gt;0,"",'Staffing'!C16)</x:f>
        <x:v>24</x:v>
      </x:c>
      <x:c r="E72" s="22" t="n">
        <x:f>IF('Setup'!$B$22&gt;0,"",IF(B72&gt;='Processes'!N6,'Processes'!O6,0))</x:f>
        <x:v>4</x:v>
      </x:c>
      <x:c r="F72" s="23" t="n">
        <x:f>IF('Setup'!$B$22&gt;0,"",IF(E72=0,0,INDEX('Setup'!$B$9:$B$13,MIN(5,B72-'Processes'!N6+1))))</x:f>
        <x:v>1</x:v>
      </x:c>
      <x:c r="G72" s="22" t="n">
        <x:f>IF('Setup'!$B$22&gt;0,"",MIN(D72,'Processes'!M6))</x:f>
        <x:v>24</x:v>
      </x:c>
      <x:c r="H72" s="22" t="n">
        <x:f>IF('Setup'!$B$22&gt;0,"",MIN(E72,MAX(0,'Processes'!M6-G72)))</x:f>
        <x:v>4</x:v>
      </x:c>
      <x:c r="I72" s="23" t="n">
        <x:f>IF('Setup'!$B$22&gt;0,"",1-'Processes'!G6-'Setup'!C18)</x:f>
        <x:v>0.92</x:v>
      </x:c>
      <x:c r="J72" s="22" t="n">
        <x:f>IF('Setup'!$B$22&gt;0,"",(G72+H72*F72)*I72*'Processes'!F6)</x:f>
        <x:v>167.44</x:v>
      </x:c>
      <x:c r="K72" s="22" t="n">
        <x:f>IF('Setup'!$B$22&gt;0,"",(G72+H72*F72)*I72*V72*'Processes'!H6)</x:f>
        <x:v>0</x:v>
      </x:c>
      <x:c r="L72" s="22" t="n">
        <x:f>IF('Setup'!$B$22&gt;0,"",(J72+K72)*'Processes'!C6*'Setup'!D18/'Processes'!B6)</x:f>
        <x:v>8372</x:v>
      </x:c>
      <x:c r="M72" s="22" t="n">
        <x:f>IF('Setup'!$B$22&gt;0,"",'Processes'!L6*'Setup'!E18)</x:f>
        <x:v>10000</x:v>
      </x:c>
      <x:c r="N72" s="24" t="n">
        <x:f>IF('Setup'!$B$22&gt;0,"",INT(MIN(L72,M72)))</x:f>
        <x:v>8372</x:v>
      </x:c>
      <x:c r="O72" s="25" t="n">
        <x:f>IF('Setup'!$B$22&gt;0,"",(D72+E72)*I72*'Processes'!E6*'Processes'!J6)</x:f>
        <x:v>4945.92</x:v>
      </x:c>
      <x:c r="P72" s="25" t="n">
        <x:f>IF('Setup'!$B$22&gt;0,"",(D72+E72)*I72*V72*'Processes'!J6*'Processes'!K6)</x:f>
        <x:v>0</x:v>
      </x:c>
      <x:c r="Q72" s="25" t="n">
        <x:f>IF('Setup'!$B$22&gt;0,"",Z72-AA72)</x:f>
        <x:v>706.5599999999995</x:v>
      </x:c>
      <x:c r="R72" s="22" t="n">
        <x:f>IF('Setup'!$B$22&gt;0,"",D72+E72)</x:f>
        <x:v>28</x:v>
      </x:c>
      <x:c r="S72" s="22" t="n">
        <x:f>IF('Setup'!$B$22&gt;0,"",'Processes'!M6)</x:f>
        <x:v>32</x:v>
      </x:c>
      <x:c r="T72" s="22" t="n">
        <x:f>IF('Setup'!$B$22&gt;0,"",MAX(0,R72-S72))</x:f>
        <x:v>0</x:v>
      </x:c>
      <x:c r="U72" s="22" t="n">
        <x:f>IF('Setup'!$B$22&gt;0,"",'Staffing'!F16)</x:f>
        <x:v>0</x:v>
      </x:c>
      <x:c r="V72" s="22" t="n">
        <x:f>IF('Setup'!$B$22&gt;0,"",MIN(U72,'Processes'!I6))</x:f>
        <x:v>0</x:v>
      </x:c>
      <x:c r="W72" s="22" t="n">
        <x:f>IF('Setup'!$B$22&gt;0,"",MAX(0,U72-V72))</x:f>
        <x:v>0</x:v>
      </x:c>
      <x:c r="X72" s="22" t="n">
        <x:f>IF('Setup'!$B$22&gt;0,"",I72*('Processes'!F6+V72*'Processes'!H6)*'Processes'!C6*'Setup'!D18/'Processes'!B6)</x:f>
        <x:v>299</x:v>
      </x:c>
      <x:c r="Y72" s="22" t="n">
        <x:f>IF('Setup'!$B$22&gt;0,"",H72*F72)</x:f>
        <x:v>4</x:v>
      </x:c>
      <x:c r="Z72" s="25" t="n">
        <x:f>IF('Setup'!$B$22&gt;0,"",O72+P72)</x:f>
        <x:v>4945.92</x:v>
      </x:c>
      <x:c r="AA72" s="25" t="n">
        <x:f>IF('Setup'!$B$22&gt;0,"",'Processes'!D6*I72*'Processes'!E6*'Processes'!J6)</x:f>
        <x:v>4239.360000000001</x:v>
      </x:c>
    </x:row>
    <x:row r="73" ht="23" customHeight="1">
      <x:c r="A73" s="1" t="str">
        <x:v>Upside</x:v>
      </x:c>
      <x:c r="B73" s="1" t="n">
        <x:v>11</x:v>
      </x:c>
      <x:c r="C73" s="1" t="str">
        <x:f>'Processes'!A7</x:f>
        <x:v>Pack</x:v>
      </x:c>
      <x:c r="D73" s="22" t="n">
        <x:f>IF('Setup'!$B$22&gt;0,"",'Staffing'!D16)</x:f>
        <x:v>18</x:v>
      </x:c>
      <x:c r="E73" s="22" t="n">
        <x:f>IF('Setup'!$B$22&gt;0,"",IF(B73&gt;='Processes'!N7,'Processes'!O7,0))</x:f>
        <x:v>4</x:v>
      </x:c>
      <x:c r="F73" s="23" t="n">
        <x:f>IF('Setup'!$B$22&gt;0,"",IF(E73=0,0,INDEX('Setup'!$B$9:$B$13,MIN(5,B73-'Processes'!N7+1))))</x:f>
        <x:v>1</x:v>
      </x:c>
      <x:c r="G73" s="22" t="n">
        <x:f>IF('Setup'!$B$22&gt;0,"",MIN(D73,'Processes'!M7))</x:f>
        <x:v>18</x:v>
      </x:c>
      <x:c r="H73" s="22" t="n">
        <x:f>IF('Setup'!$B$22&gt;0,"",MIN(E73,MAX(0,'Processes'!M7-G73)))</x:f>
        <x:v>4</x:v>
      </x:c>
      <x:c r="I73" s="23" t="n">
        <x:f>IF('Setup'!$B$22&gt;0,"",1-'Processes'!G7-'Setup'!C18)</x:f>
        <x:v>0.92</x:v>
      </x:c>
      <x:c r="J73" s="22" t="n">
        <x:f>IF('Setup'!$B$22&gt;0,"",(G73+H73*F73)*I73*'Processes'!F7)</x:f>
        <x:v>131.56</x:v>
      </x:c>
      <x:c r="K73" s="22" t="n">
        <x:f>IF('Setup'!$B$22&gt;0,"",(G73+H73*F73)*I73*V73*'Processes'!H7)</x:f>
        <x:v>0</x:v>
      </x:c>
      <x:c r="L73" s="22" t="n">
        <x:f>IF('Setup'!$B$22&gt;0,"",(J73+K73)*'Processes'!C7*'Setup'!D18/'Processes'!B7)</x:f>
        <x:v>7893.6</x:v>
      </x:c>
      <x:c r="M73" s="22" t="n">
        <x:f>IF('Setup'!$B$22&gt;0,"",'Processes'!L7*'Setup'!E18)</x:f>
        <x:v>9000</x:v>
      </x:c>
      <x:c r="N73" s="24" t="n">
        <x:f>IF('Setup'!$B$22&gt;0,"",INT(MIN(L73,M73)))</x:f>
        <x:v>7893</x:v>
      </x:c>
      <x:c r="O73" s="25" t="n">
        <x:f>IF('Setup'!$B$22&gt;0,"",(D73+E73)*I73*'Processes'!E7*'Processes'!J7)</x:f>
        <x:v>3886.0800000000004</x:v>
      </x:c>
      <x:c r="P73" s="25" t="n">
        <x:f>IF('Setup'!$B$22&gt;0,"",(D73+E73)*I73*V73*'Processes'!J7*'Processes'!K7)</x:f>
        <x:v>0</x:v>
      </x:c>
      <x:c r="Q73" s="25" t="n">
        <x:f>IF('Setup'!$B$22&gt;0,"",Z73-AA73)</x:f>
        <x:v>706.56</x:v>
      </x:c>
      <x:c r="R73" s="22" t="n">
        <x:f>IF('Setup'!$B$22&gt;0,"",D73+E73)</x:f>
        <x:v>22</x:v>
      </x:c>
      <x:c r="S73" s="22" t="n">
        <x:f>IF('Setup'!$B$22&gt;0,"",'Processes'!M7)</x:f>
        <x:v>26</x:v>
      </x:c>
      <x:c r="T73" s="22" t="n">
        <x:f>IF('Setup'!$B$22&gt;0,"",MAX(0,R73-S73))</x:f>
        <x:v>0</x:v>
      </x:c>
      <x:c r="U73" s="22" t="n">
        <x:f>IF('Setup'!$B$22&gt;0,"",'Staffing'!G16)</x:f>
        <x:v>0</x:v>
      </x:c>
      <x:c r="V73" s="22" t="n">
        <x:f>IF('Setup'!$B$22&gt;0,"",MIN(U73,'Processes'!I7))</x:f>
        <x:v>0</x:v>
      </x:c>
      <x:c r="W73" s="22" t="n">
        <x:f>IF('Setup'!$B$22&gt;0,"",MAX(0,U73-V73))</x:f>
        <x:v>0</x:v>
      </x:c>
      <x:c r="X73" s="22" t="n">
        <x:f>IF('Setup'!$B$22&gt;0,"",I73*('Processes'!F7+V73*'Processes'!H7)*'Processes'!C7*'Setup'!D18/'Processes'!B7)</x:f>
        <x:v>358.8</x:v>
      </x:c>
      <x:c r="Y73" s="22" t="n">
        <x:f>IF('Setup'!$B$22&gt;0,"",H73*F73)</x:f>
        <x:v>4</x:v>
      </x:c>
      <x:c r="Z73" s="25" t="n">
        <x:f>IF('Setup'!$B$22&gt;0,"",O73+P73)</x:f>
        <x:v>3886.0800000000004</x:v>
      </x:c>
      <x:c r="AA73" s="25" t="n">
        <x:f>IF('Setup'!$B$22&gt;0,"",'Processes'!D7*I73*'Processes'!E7*'Processes'!J7)</x:f>
        <x:v>3179.5200000000004</x:v>
      </x:c>
    </x:row>
    <x:row r="74" ht="23" customHeight="1">
      <x:c r="A74" s="1" t="str">
        <x:v>Upside</x:v>
      </x:c>
      <x:c r="B74" s="1" t="n">
        <x:v>11</x:v>
      </x:c>
      <x:c r="C74" s="1" t="str">
        <x:f>'Processes'!A8</x:f>
        <x:v>Ship</x:v>
      </x:c>
      <x:c r="D74" s="22" t="n">
        <x:f>IF('Setup'!$B$22&gt;0,"",'Staffing'!E16)</x:f>
        <x:v>10</x:v>
      </x:c>
      <x:c r="E74" s="22" t="n">
        <x:f>IF('Setup'!$B$22&gt;0,"",IF(B74&gt;='Processes'!N8,'Processes'!O8,0))</x:f>
        <x:v>3</x:v>
      </x:c>
      <x:c r="F74" s="23" t="n">
        <x:f>IF('Setup'!$B$22&gt;0,"",IF(E74=0,0,INDEX('Setup'!$B$9:$B$13,MIN(5,B74-'Processes'!N8+1))))</x:f>
        <x:v>1</x:v>
      </x:c>
      <x:c r="G74" s="22" t="n">
        <x:f>IF('Setup'!$B$22&gt;0,"",MIN(D74,'Processes'!M8))</x:f>
        <x:v>10</x:v>
      </x:c>
      <x:c r="H74" s="22" t="n">
        <x:f>IF('Setup'!$B$22&gt;0,"",MIN(E74,MAX(0,'Processes'!M8-G74)))</x:f>
        <x:v>3</x:v>
      </x:c>
      <x:c r="I74" s="23" t="n">
        <x:f>IF('Setup'!$B$22&gt;0,"",1-'Processes'!G8-'Setup'!C18)</x:f>
        <x:v>0.92</x:v>
      </x:c>
      <x:c r="J74" s="22" t="n">
        <x:f>IF('Setup'!$B$22&gt;0,"",(G74+H74*F74)*I74*'Processes'!F8)</x:f>
        <x:v>77.74000000000001</x:v>
      </x:c>
      <x:c r="K74" s="22" t="n">
        <x:f>IF('Setup'!$B$22&gt;0,"",(G74+H74*F74)*I74*V74*'Processes'!H8)</x:f>
        <x:v>0</x:v>
      </x:c>
      <x:c r="L74" s="22" t="n">
        <x:f>IF('Setup'!$B$22&gt;0,"",(J74+K74)*'Processes'!C8*'Setup'!D18/'Processes'!B8)</x:f>
        <x:v>7774.000000000001</x:v>
      </x:c>
      <x:c r="M74" s="22" t="n">
        <x:f>IF('Setup'!$B$22&gt;0,"",'Processes'!L8*'Setup'!E18)</x:f>
        <x:v>8000</x:v>
      </x:c>
      <x:c r="N74" s="24" t="n">
        <x:f>IF('Setup'!$B$22&gt;0,"",INT(MIN(L74,M74)))</x:f>
        <x:v>7774</x:v>
      </x:c>
      <x:c r="O74" s="25" t="n">
        <x:f>IF('Setup'!$B$22&gt;0,"",(D74+E74)*I74*'Processes'!E8*'Processes'!J8)</x:f>
        <x:v>2487.6800000000003</x:v>
      </x:c>
      <x:c r="P74" s="25" t="n">
        <x:f>IF('Setup'!$B$22&gt;0,"",(D74+E74)*I74*V74*'Processes'!J8*'Processes'!K8)</x:f>
        <x:v>0</x:v>
      </x:c>
      <x:c r="Q74" s="25" t="n">
        <x:f>IF('Setup'!$B$22&gt;0,"",Z74-AA74)</x:f>
        <x:v>574.0800000000002</x:v>
      </x:c>
      <x:c r="R74" s="22" t="n">
        <x:f>IF('Setup'!$B$22&gt;0,"",D74+E74)</x:f>
        <x:v>13</x:v>
      </x:c>
      <x:c r="S74" s="22" t="n">
        <x:f>IF('Setup'!$B$22&gt;0,"",'Processes'!M8)</x:f>
        <x:v>16</x:v>
      </x:c>
      <x:c r="T74" s="22" t="n">
        <x:f>IF('Setup'!$B$22&gt;0,"",MAX(0,R74-S74))</x:f>
        <x:v>0</x:v>
      </x:c>
      <x:c r="U74" s="22" t="n">
        <x:f>IF('Setup'!$B$22&gt;0,"",'Staffing'!H16)</x:f>
        <x:v>0</x:v>
      </x:c>
      <x:c r="V74" s="22" t="n">
        <x:f>IF('Setup'!$B$22&gt;0,"",MIN(U74,'Processes'!I8))</x:f>
        <x:v>0</x:v>
      </x:c>
      <x:c r="W74" s="22" t="n">
        <x:f>IF('Setup'!$B$22&gt;0,"",MAX(0,U74-V74))</x:f>
        <x:v>0</x:v>
      </x:c>
      <x:c r="X74" s="22" t="n">
        <x:f>IF('Setup'!$B$22&gt;0,"",I74*('Processes'!F8+V74*'Processes'!H8)*'Processes'!C8*'Setup'!D18/'Processes'!B8)</x:f>
        <x:v>598</x:v>
      </x:c>
      <x:c r="Y74" s="22" t="n">
        <x:f>IF('Setup'!$B$22&gt;0,"",H74*F74)</x:f>
        <x:v>3</x:v>
      </x:c>
      <x:c r="Z74" s="25" t="n">
        <x:f>IF('Setup'!$B$22&gt;0,"",O74+P74)</x:f>
        <x:v>2487.6800000000003</x:v>
      </x:c>
      <x:c r="AA74" s="25" t="n">
        <x:f>IF('Setup'!$B$22&gt;0,"",'Processes'!D8*I74*'Processes'!E8*'Processes'!J8)</x:f>
        <x:v>1913.6000000000001</x:v>
      </x:c>
    </x:row>
    <x:row r="75" ht="23" customHeight="1">
      <x:c r="A75" s="1" t="str">
        <x:v>Upside</x:v>
      </x:c>
      <x:c r="B75" s="1" t="n">
        <x:v>12</x:v>
      </x:c>
      <x:c r="C75" s="1" t="str">
        <x:f>'Processes'!A6</x:f>
        <x:v>Pick</x:v>
      </x:c>
      <x:c r="D75" s="22" t="n">
        <x:f>IF('Setup'!$B$22&gt;0,"",'Staffing'!C17)</x:f>
        <x:v>24</x:v>
      </x:c>
      <x:c r="E75" s="22" t="n">
        <x:f>IF('Setup'!$B$22&gt;0,"",IF(B75&gt;='Processes'!N6,'Processes'!O6,0))</x:f>
        <x:v>4</x:v>
      </x:c>
      <x:c r="F75" s="23" t="n">
        <x:f>IF('Setup'!$B$22&gt;0,"",IF(E75=0,0,INDEX('Setup'!$B$9:$B$13,MIN(5,B75-'Processes'!N6+1))))</x:f>
        <x:v>1</x:v>
      </x:c>
      <x:c r="G75" s="22" t="n">
        <x:f>IF('Setup'!$B$22&gt;0,"",MIN(D75,'Processes'!M6))</x:f>
        <x:v>24</x:v>
      </x:c>
      <x:c r="H75" s="22" t="n">
        <x:f>IF('Setup'!$B$22&gt;0,"",MIN(E75,MAX(0,'Processes'!M6-G75)))</x:f>
        <x:v>4</x:v>
      </x:c>
      <x:c r="I75" s="23" t="n">
        <x:f>IF('Setup'!$B$22&gt;0,"",1-'Processes'!G6-'Setup'!C18)</x:f>
        <x:v>0.92</x:v>
      </x:c>
      <x:c r="J75" s="22" t="n">
        <x:f>IF('Setup'!$B$22&gt;0,"",(G75+H75*F75)*I75*'Processes'!F6)</x:f>
        <x:v>167.44</x:v>
      </x:c>
      <x:c r="K75" s="22" t="n">
        <x:f>IF('Setup'!$B$22&gt;0,"",(G75+H75*F75)*I75*V75*'Processes'!H6)</x:f>
        <x:v>0</x:v>
      </x:c>
      <x:c r="L75" s="22" t="n">
        <x:f>IF('Setup'!$B$22&gt;0,"",(J75+K75)*'Processes'!C6*'Setup'!D18/'Processes'!B6)</x:f>
        <x:v>8372</x:v>
      </x:c>
      <x:c r="M75" s="22" t="n">
        <x:f>IF('Setup'!$B$22&gt;0,"",'Processes'!L6*'Setup'!E18)</x:f>
        <x:v>10000</x:v>
      </x:c>
      <x:c r="N75" s="24" t="n">
        <x:f>IF('Setup'!$B$22&gt;0,"",INT(MIN(L75,M75)))</x:f>
        <x:v>8372</x:v>
      </x:c>
      <x:c r="O75" s="25" t="n">
        <x:f>IF('Setup'!$B$22&gt;0,"",(D75+E75)*I75*'Processes'!E6*'Processes'!J6)</x:f>
        <x:v>4945.92</x:v>
      </x:c>
      <x:c r="P75" s="25" t="n">
        <x:f>IF('Setup'!$B$22&gt;0,"",(D75+E75)*I75*V75*'Processes'!J6*'Processes'!K6)</x:f>
        <x:v>0</x:v>
      </x:c>
      <x:c r="Q75" s="25" t="n">
        <x:f>IF('Setup'!$B$22&gt;0,"",Z75-AA75)</x:f>
        <x:v>706.5599999999995</x:v>
      </x:c>
      <x:c r="R75" s="22" t="n">
        <x:f>IF('Setup'!$B$22&gt;0,"",D75+E75)</x:f>
        <x:v>28</x:v>
      </x:c>
      <x:c r="S75" s="22" t="n">
        <x:f>IF('Setup'!$B$22&gt;0,"",'Processes'!M6)</x:f>
        <x:v>32</x:v>
      </x:c>
      <x:c r="T75" s="22" t="n">
        <x:f>IF('Setup'!$B$22&gt;0,"",MAX(0,R75-S75))</x:f>
        <x:v>0</x:v>
      </x:c>
      <x:c r="U75" s="22" t="n">
        <x:f>IF('Setup'!$B$22&gt;0,"",'Staffing'!F17)</x:f>
        <x:v>0</x:v>
      </x:c>
      <x:c r="V75" s="22" t="n">
        <x:f>IF('Setup'!$B$22&gt;0,"",MIN(U75,'Processes'!I6))</x:f>
        <x:v>0</x:v>
      </x:c>
      <x:c r="W75" s="22" t="n">
        <x:f>IF('Setup'!$B$22&gt;0,"",MAX(0,U75-V75))</x:f>
        <x:v>0</x:v>
      </x:c>
      <x:c r="X75" s="22" t="n">
        <x:f>IF('Setup'!$B$22&gt;0,"",I75*('Processes'!F6+V75*'Processes'!H6)*'Processes'!C6*'Setup'!D18/'Processes'!B6)</x:f>
        <x:v>299</x:v>
      </x:c>
      <x:c r="Y75" s="22" t="n">
        <x:f>IF('Setup'!$B$22&gt;0,"",H75*F75)</x:f>
        <x:v>4</x:v>
      </x:c>
      <x:c r="Z75" s="25" t="n">
        <x:f>IF('Setup'!$B$22&gt;0,"",O75+P75)</x:f>
        <x:v>4945.92</x:v>
      </x:c>
      <x:c r="AA75" s="25" t="n">
        <x:f>IF('Setup'!$B$22&gt;0,"",'Processes'!D6*I75*'Processes'!E6*'Processes'!J6)</x:f>
        <x:v>4239.360000000001</x:v>
      </x:c>
    </x:row>
    <x:row r="76" ht="23" customHeight="1">
      <x:c r="A76" s="1" t="str">
        <x:v>Upside</x:v>
      </x:c>
      <x:c r="B76" s="1" t="n">
        <x:v>12</x:v>
      </x:c>
      <x:c r="C76" s="1" t="str">
        <x:f>'Processes'!A7</x:f>
        <x:v>Pack</x:v>
      </x:c>
      <x:c r="D76" s="22" t="n">
        <x:f>IF('Setup'!$B$22&gt;0,"",'Staffing'!D17)</x:f>
        <x:v>18</x:v>
      </x:c>
      <x:c r="E76" s="22" t="n">
        <x:f>IF('Setup'!$B$22&gt;0,"",IF(B76&gt;='Processes'!N7,'Processes'!O7,0))</x:f>
        <x:v>4</x:v>
      </x:c>
      <x:c r="F76" s="23" t="n">
        <x:f>IF('Setup'!$B$22&gt;0,"",IF(E76=0,0,INDEX('Setup'!$B$9:$B$13,MIN(5,B76-'Processes'!N7+1))))</x:f>
        <x:v>1</x:v>
      </x:c>
      <x:c r="G76" s="22" t="n">
        <x:f>IF('Setup'!$B$22&gt;0,"",MIN(D76,'Processes'!M7))</x:f>
        <x:v>18</x:v>
      </x:c>
      <x:c r="H76" s="22" t="n">
        <x:f>IF('Setup'!$B$22&gt;0,"",MIN(E76,MAX(0,'Processes'!M7-G76)))</x:f>
        <x:v>4</x:v>
      </x:c>
      <x:c r="I76" s="23" t="n">
        <x:f>IF('Setup'!$B$22&gt;0,"",1-'Processes'!G7-'Setup'!C18)</x:f>
        <x:v>0.92</x:v>
      </x:c>
      <x:c r="J76" s="22" t="n">
        <x:f>IF('Setup'!$B$22&gt;0,"",(G76+H76*F76)*I76*'Processes'!F7)</x:f>
        <x:v>131.56</x:v>
      </x:c>
      <x:c r="K76" s="22" t="n">
        <x:f>IF('Setup'!$B$22&gt;0,"",(G76+H76*F76)*I76*V76*'Processes'!H7)</x:f>
        <x:v>0</x:v>
      </x:c>
      <x:c r="L76" s="22" t="n">
        <x:f>IF('Setup'!$B$22&gt;0,"",(J76+K76)*'Processes'!C7*'Setup'!D18/'Processes'!B7)</x:f>
        <x:v>7893.6</x:v>
      </x:c>
      <x:c r="M76" s="22" t="n">
        <x:f>IF('Setup'!$B$22&gt;0,"",'Processes'!L7*'Setup'!E18)</x:f>
        <x:v>9000</x:v>
      </x:c>
      <x:c r="N76" s="24" t="n">
        <x:f>IF('Setup'!$B$22&gt;0,"",INT(MIN(L76,M76)))</x:f>
        <x:v>7893</x:v>
      </x:c>
      <x:c r="O76" s="25" t="n">
        <x:f>IF('Setup'!$B$22&gt;0,"",(D76+E76)*I76*'Processes'!E7*'Processes'!J7)</x:f>
        <x:v>3886.0800000000004</x:v>
      </x:c>
      <x:c r="P76" s="25" t="n">
        <x:f>IF('Setup'!$B$22&gt;0,"",(D76+E76)*I76*V76*'Processes'!J7*'Processes'!K7)</x:f>
        <x:v>0</x:v>
      </x:c>
      <x:c r="Q76" s="25" t="n">
        <x:f>IF('Setup'!$B$22&gt;0,"",Z76-AA76)</x:f>
        <x:v>706.56</x:v>
      </x:c>
      <x:c r="R76" s="22" t="n">
        <x:f>IF('Setup'!$B$22&gt;0,"",D76+E76)</x:f>
        <x:v>22</x:v>
      </x:c>
      <x:c r="S76" s="22" t="n">
        <x:f>IF('Setup'!$B$22&gt;0,"",'Processes'!M7)</x:f>
        <x:v>26</x:v>
      </x:c>
      <x:c r="T76" s="22" t="n">
        <x:f>IF('Setup'!$B$22&gt;0,"",MAX(0,R76-S76))</x:f>
        <x:v>0</x:v>
      </x:c>
      <x:c r="U76" s="22" t="n">
        <x:f>IF('Setup'!$B$22&gt;0,"",'Staffing'!G17)</x:f>
        <x:v>0</x:v>
      </x:c>
      <x:c r="V76" s="22" t="n">
        <x:f>IF('Setup'!$B$22&gt;0,"",MIN(U76,'Processes'!I7))</x:f>
        <x:v>0</x:v>
      </x:c>
      <x:c r="W76" s="22" t="n">
        <x:f>IF('Setup'!$B$22&gt;0,"",MAX(0,U76-V76))</x:f>
        <x:v>0</x:v>
      </x:c>
      <x:c r="X76" s="22" t="n">
        <x:f>IF('Setup'!$B$22&gt;0,"",I76*('Processes'!F7+V76*'Processes'!H7)*'Processes'!C7*'Setup'!D18/'Processes'!B7)</x:f>
        <x:v>358.8</x:v>
      </x:c>
      <x:c r="Y76" s="22" t="n">
        <x:f>IF('Setup'!$B$22&gt;0,"",H76*F76)</x:f>
        <x:v>4</x:v>
      </x:c>
      <x:c r="Z76" s="25" t="n">
        <x:f>IF('Setup'!$B$22&gt;0,"",O76+P76)</x:f>
        <x:v>3886.0800000000004</x:v>
      </x:c>
      <x:c r="AA76" s="25" t="n">
        <x:f>IF('Setup'!$B$22&gt;0,"",'Processes'!D7*I76*'Processes'!E7*'Processes'!J7)</x:f>
        <x:v>3179.5200000000004</x:v>
      </x:c>
    </x:row>
    <x:row r="77" ht="23" customHeight="1">
      <x:c r="A77" s="1" t="str">
        <x:v>Upside</x:v>
      </x:c>
      <x:c r="B77" s="1" t="n">
        <x:v>12</x:v>
      </x:c>
      <x:c r="C77" s="1" t="str">
        <x:f>'Processes'!A8</x:f>
        <x:v>Ship</x:v>
      </x:c>
      <x:c r="D77" s="22" t="n">
        <x:f>IF('Setup'!$B$22&gt;0,"",'Staffing'!E17)</x:f>
        <x:v>10</x:v>
      </x:c>
      <x:c r="E77" s="22" t="n">
        <x:f>IF('Setup'!$B$22&gt;0,"",IF(B77&gt;='Processes'!N8,'Processes'!O8,0))</x:f>
        <x:v>3</x:v>
      </x:c>
      <x:c r="F77" s="23" t="n">
        <x:f>IF('Setup'!$B$22&gt;0,"",IF(E77=0,0,INDEX('Setup'!$B$9:$B$13,MIN(5,B77-'Processes'!N8+1))))</x:f>
        <x:v>1</x:v>
      </x:c>
      <x:c r="G77" s="22" t="n">
        <x:f>IF('Setup'!$B$22&gt;0,"",MIN(D77,'Processes'!M8))</x:f>
        <x:v>10</x:v>
      </x:c>
      <x:c r="H77" s="22" t="n">
        <x:f>IF('Setup'!$B$22&gt;0,"",MIN(E77,MAX(0,'Processes'!M8-G77)))</x:f>
        <x:v>3</x:v>
      </x:c>
      <x:c r="I77" s="23" t="n">
        <x:f>IF('Setup'!$B$22&gt;0,"",1-'Processes'!G8-'Setup'!C18)</x:f>
        <x:v>0.92</x:v>
      </x:c>
      <x:c r="J77" s="22" t="n">
        <x:f>IF('Setup'!$B$22&gt;0,"",(G77+H77*F77)*I77*'Processes'!F8)</x:f>
        <x:v>77.74000000000001</x:v>
      </x:c>
      <x:c r="K77" s="22" t="n">
        <x:f>IF('Setup'!$B$22&gt;0,"",(G77+H77*F77)*I77*V77*'Processes'!H8)</x:f>
        <x:v>0</x:v>
      </x:c>
      <x:c r="L77" s="22" t="n">
        <x:f>IF('Setup'!$B$22&gt;0,"",(J77+K77)*'Processes'!C8*'Setup'!D18/'Processes'!B8)</x:f>
        <x:v>7774.000000000001</x:v>
      </x:c>
      <x:c r="M77" s="22" t="n">
        <x:f>IF('Setup'!$B$22&gt;0,"",'Processes'!L8*'Setup'!E18)</x:f>
        <x:v>8000</x:v>
      </x:c>
      <x:c r="N77" s="24" t="n">
        <x:f>IF('Setup'!$B$22&gt;0,"",INT(MIN(L77,M77)))</x:f>
        <x:v>7774</x:v>
      </x:c>
      <x:c r="O77" s="25" t="n">
        <x:f>IF('Setup'!$B$22&gt;0,"",(D77+E77)*I77*'Processes'!E8*'Processes'!J8)</x:f>
        <x:v>2487.6800000000003</x:v>
      </x:c>
      <x:c r="P77" s="25" t="n">
        <x:f>IF('Setup'!$B$22&gt;0,"",(D77+E77)*I77*V77*'Processes'!J8*'Processes'!K8)</x:f>
        <x:v>0</x:v>
      </x:c>
      <x:c r="Q77" s="25" t="n">
        <x:f>IF('Setup'!$B$22&gt;0,"",Z77-AA77)</x:f>
        <x:v>574.0800000000002</x:v>
      </x:c>
      <x:c r="R77" s="22" t="n">
        <x:f>IF('Setup'!$B$22&gt;0,"",D77+E77)</x:f>
        <x:v>13</x:v>
      </x:c>
      <x:c r="S77" s="22" t="n">
        <x:f>IF('Setup'!$B$22&gt;0,"",'Processes'!M8)</x:f>
        <x:v>16</x:v>
      </x:c>
      <x:c r="T77" s="22" t="n">
        <x:f>IF('Setup'!$B$22&gt;0,"",MAX(0,R77-S77))</x:f>
        <x:v>0</x:v>
      </x:c>
      <x:c r="U77" s="22" t="n">
        <x:f>IF('Setup'!$B$22&gt;0,"",'Staffing'!H17)</x:f>
        <x:v>0</x:v>
      </x:c>
      <x:c r="V77" s="22" t="n">
        <x:f>IF('Setup'!$B$22&gt;0,"",MIN(U77,'Processes'!I8))</x:f>
        <x:v>0</x:v>
      </x:c>
      <x:c r="W77" s="22" t="n">
        <x:f>IF('Setup'!$B$22&gt;0,"",MAX(0,U77-V77))</x:f>
        <x:v>0</x:v>
      </x:c>
      <x:c r="X77" s="22" t="n">
        <x:f>IF('Setup'!$B$22&gt;0,"",I77*('Processes'!F8+V77*'Processes'!H8)*'Processes'!C8*'Setup'!D18/'Processes'!B8)</x:f>
        <x:v>598</x:v>
      </x:c>
      <x:c r="Y77" s="22" t="n">
        <x:f>IF('Setup'!$B$22&gt;0,"",H77*F77)</x:f>
        <x:v>3</x:v>
      </x:c>
      <x:c r="Z77" s="25" t="n">
        <x:f>IF('Setup'!$B$22&gt;0,"",O77+P77)</x:f>
        <x:v>2487.6800000000003</x:v>
      </x:c>
      <x:c r="AA77" s="25" t="n">
        <x:f>IF('Setup'!$B$22&gt;0,"",'Processes'!D8*I77*'Processes'!E8*'Processes'!J8)</x:f>
        <x:v>1913.6000000000001</x:v>
      </x:c>
    </x:row>
    <x:row r="78" ht="23" customHeight="1">
      <x:c r="A78" s="1" t="str">
        <x:v>Disruption</x:v>
      </x:c>
      <x:c r="B78" s="1" t="n">
        <x:v>1</x:v>
      </x:c>
      <x:c r="C78" s="1" t="str">
        <x:f>'Processes'!A6</x:f>
        <x:v>Pick</x:v>
      </x:c>
      <x:c r="D78" s="22" t="n">
        <x:f>IF('Setup'!$B$22&gt;0,"",'Staffing'!C6)</x:f>
        <x:v>24</x:v>
      </x:c>
      <x:c r="E78" s="22" t="n">
        <x:f>IF('Setup'!$B$22&gt;0,"",IF(B78&gt;='Processes'!N6,'Processes'!O6,0))</x:f>
        <x:v>0</x:v>
      </x:c>
      <x:c r="F78" s="23" t="n">
        <x:f>IF('Setup'!$B$22&gt;0,"",IF(E78=0,0,INDEX('Setup'!$B$9:$B$13,MIN(5,B78-'Processes'!N6+1))))</x:f>
        <x:v>0</x:v>
      </x:c>
      <x:c r="G78" s="22" t="n">
        <x:f>IF('Setup'!$B$22&gt;0,"",MIN(D78,'Processes'!M6))</x:f>
        <x:v>24</x:v>
      </x:c>
      <x:c r="H78" s="22" t="n">
        <x:f>IF('Setup'!$B$22&gt;0,"",MIN(E78,MAX(0,'Processes'!M6-G78)))</x:f>
        <x:v>0</x:v>
      </x:c>
      <x:c r="I78" s="23" t="n">
        <x:f>IF('Setup'!$B$22&gt;0,"",1-'Processes'!G6-'Setup'!C19)</x:f>
        <x:v>0.87</x:v>
      </x:c>
      <x:c r="J78" s="22" t="n">
        <x:f>IF('Setup'!$B$22&gt;0,"",(G78+H78*F78)*I78*'Processes'!F6)</x:f>
        <x:v>135.72</x:v>
      </x:c>
      <x:c r="K78" s="22" t="n">
        <x:f>IF('Setup'!$B$22&gt;0,"",(G78+H78*F78)*I78*V78*'Processes'!H6)</x:f>
        <x:v>0</x:v>
      </x:c>
      <x:c r="L78" s="22" t="n">
        <x:f>IF('Setup'!$B$22&gt;0,"",(J78+K78)*'Processes'!C6*'Setup'!D19/'Processes'!B6)</x:f>
        <x:v>6107.400000000001</x:v>
      </x:c>
      <x:c r="M78" s="22" t="n">
        <x:f>IF('Setup'!$B$22&gt;0,"",'Processes'!L6*'Setup'!E19)</x:f>
        <x:v>8500</x:v>
      </x:c>
      <x:c r="N78" s="24" t="n">
        <x:f>IF('Setup'!$B$22&gt;0,"",INT(MIN(L78,M78)))</x:f>
        <x:v>6107</x:v>
      </x:c>
      <x:c r="O78" s="25" t="n">
        <x:f>IF('Setup'!$B$22&gt;0,"",(D78+E78)*I78*'Processes'!E6*'Processes'!J6)</x:f>
        <x:v>4008.96</x:v>
      </x:c>
      <x:c r="P78" s="25" t="n">
        <x:f>IF('Setup'!$B$22&gt;0,"",(D78+E78)*I78*V78*'Processes'!J6*'Processes'!K6)</x:f>
        <x:v>0</x:v>
      </x:c>
      <x:c r="Q78" s="25" t="n">
        <x:f>IF('Setup'!$B$22&gt;0,"",Z78-AA78)</x:f>
        <x:v>0</x:v>
      </x:c>
      <x:c r="R78" s="22" t="n">
        <x:f>IF('Setup'!$B$22&gt;0,"",D78+E78)</x:f>
        <x:v>24</x:v>
      </x:c>
      <x:c r="S78" s="22" t="n">
        <x:f>IF('Setup'!$B$22&gt;0,"",'Processes'!M6)</x:f>
        <x:v>32</x:v>
      </x:c>
      <x:c r="T78" s="22" t="n">
        <x:f>IF('Setup'!$B$22&gt;0,"",MAX(0,R78-S78))</x:f>
        <x:v>0</x:v>
      </x:c>
      <x:c r="U78" s="22" t="n">
        <x:f>IF('Setup'!$B$22&gt;0,"",'Staffing'!F6)</x:f>
        <x:v>0</x:v>
      </x:c>
      <x:c r="V78" s="22" t="n">
        <x:f>IF('Setup'!$B$22&gt;0,"",MIN(U78,'Processes'!I6))</x:f>
        <x:v>0</x:v>
      </x:c>
      <x:c r="W78" s="22" t="n">
        <x:f>IF('Setup'!$B$22&gt;0,"",MAX(0,U78-V78))</x:f>
        <x:v>0</x:v>
      </x:c>
      <x:c r="X78" s="22" t="n">
        <x:f>IF('Setup'!$B$22&gt;0,"",I78*('Processes'!F6+V78*'Processes'!H6)*'Processes'!C6*'Setup'!D19/'Processes'!B6)</x:f>
        <x:v>254.475</x:v>
      </x:c>
      <x:c r="Y78" s="22" t="n">
        <x:f>IF('Setup'!$B$22&gt;0,"",H78*F78)</x:f>
        <x:v>0</x:v>
      </x:c>
      <x:c r="Z78" s="25" t="n">
        <x:f>IF('Setup'!$B$22&gt;0,"",O78+P78)</x:f>
        <x:v>4008.96</x:v>
      </x:c>
      <x:c r="AA78" s="25" t="n">
        <x:f>IF('Setup'!$B$22&gt;0,"",'Processes'!D6*I78*'Processes'!E6*'Processes'!J6)</x:f>
        <x:v>4008.96</x:v>
      </x:c>
    </x:row>
    <x:row r="79" ht="23" customHeight="1">
      <x:c r="A79" s="1" t="str">
        <x:v>Disruption</x:v>
      </x:c>
      <x:c r="B79" s="1" t="n">
        <x:v>1</x:v>
      </x:c>
      <x:c r="C79" s="1" t="str">
        <x:f>'Processes'!A7</x:f>
        <x:v>Pack</x:v>
      </x:c>
      <x:c r="D79" s="22" t="n">
        <x:f>IF('Setup'!$B$22&gt;0,"",'Staffing'!D6)</x:f>
        <x:v>18</x:v>
      </x:c>
      <x:c r="E79" s="22" t="n">
        <x:f>IF('Setup'!$B$22&gt;0,"",IF(B79&gt;='Processes'!N7,'Processes'!O7,0))</x:f>
        <x:v>0</x:v>
      </x:c>
      <x:c r="F79" s="23" t="n">
        <x:f>IF('Setup'!$B$22&gt;0,"",IF(E79=0,0,INDEX('Setup'!$B$9:$B$13,MIN(5,B79-'Processes'!N7+1))))</x:f>
        <x:v>0</x:v>
      </x:c>
      <x:c r="G79" s="22" t="n">
        <x:f>IF('Setup'!$B$22&gt;0,"",MIN(D79,'Processes'!M7))</x:f>
        <x:v>18</x:v>
      </x:c>
      <x:c r="H79" s="22" t="n">
        <x:f>IF('Setup'!$B$22&gt;0,"",MIN(E79,MAX(0,'Processes'!M7-G79)))</x:f>
        <x:v>0</x:v>
      </x:c>
      <x:c r="I79" s="23" t="n">
        <x:f>IF('Setup'!$B$22&gt;0,"",1-'Processes'!G7-'Setup'!C19)</x:f>
        <x:v>0.87</x:v>
      </x:c>
      <x:c r="J79" s="22" t="n">
        <x:f>IF('Setup'!$B$22&gt;0,"",(G79+H79*F79)*I79*'Processes'!F7)</x:f>
        <x:v>101.79</x:v>
      </x:c>
      <x:c r="K79" s="22" t="n">
        <x:f>IF('Setup'!$B$22&gt;0,"",(G79+H79*F79)*I79*V79*'Processes'!H7)</x:f>
        <x:v>0</x:v>
      </x:c>
      <x:c r="L79" s="22" t="n">
        <x:f>IF('Setup'!$B$22&gt;0,"",(J79+K79)*'Processes'!C7*'Setup'!D19/'Processes'!B7)</x:f>
        <x:v>5496.660000000001</x:v>
      </x:c>
      <x:c r="M79" s="22" t="n">
        <x:f>IF('Setup'!$B$22&gt;0,"",'Processes'!L7*'Setup'!E19)</x:f>
        <x:v>7650</x:v>
      </x:c>
      <x:c r="N79" s="24" t="n">
        <x:f>IF('Setup'!$B$22&gt;0,"",INT(MIN(L79,M79)))</x:f>
        <x:v>5496</x:v>
      </x:c>
      <x:c r="O79" s="25" t="n">
        <x:f>IF('Setup'!$B$22&gt;0,"",(D79+E79)*I79*'Processes'!E7*'Processes'!J7)</x:f>
        <x:v>3006.7200000000003</x:v>
      </x:c>
      <x:c r="P79" s="25" t="n">
        <x:f>IF('Setup'!$B$22&gt;0,"",(D79+E79)*I79*V79*'Processes'!J7*'Processes'!K7)</x:f>
        <x:v>0</x:v>
      </x:c>
      <x:c r="Q79" s="25" t="n">
        <x:f>IF('Setup'!$B$22&gt;0,"",Z79-AA79)</x:f>
        <x:v>0</x:v>
      </x:c>
      <x:c r="R79" s="22" t="n">
        <x:f>IF('Setup'!$B$22&gt;0,"",D79+E79)</x:f>
        <x:v>18</x:v>
      </x:c>
      <x:c r="S79" s="22" t="n">
        <x:f>IF('Setup'!$B$22&gt;0,"",'Processes'!M7)</x:f>
        <x:v>26</x:v>
      </x:c>
      <x:c r="T79" s="22" t="n">
        <x:f>IF('Setup'!$B$22&gt;0,"",MAX(0,R79-S79))</x:f>
        <x:v>0</x:v>
      </x:c>
      <x:c r="U79" s="22" t="n">
        <x:f>IF('Setup'!$B$22&gt;0,"",'Staffing'!G6)</x:f>
        <x:v>0</x:v>
      </x:c>
      <x:c r="V79" s="22" t="n">
        <x:f>IF('Setup'!$B$22&gt;0,"",MIN(U79,'Processes'!I7))</x:f>
        <x:v>0</x:v>
      </x:c>
      <x:c r="W79" s="22" t="n">
        <x:f>IF('Setup'!$B$22&gt;0,"",MAX(0,U79-V79))</x:f>
        <x:v>0</x:v>
      </x:c>
      <x:c r="X79" s="22" t="n">
        <x:f>IF('Setup'!$B$22&gt;0,"",I79*('Processes'!F7+V79*'Processes'!H7)*'Processes'!C7*'Setup'!D19/'Processes'!B7)</x:f>
        <x:v>305.37</x:v>
      </x:c>
      <x:c r="Y79" s="22" t="n">
        <x:f>IF('Setup'!$B$22&gt;0,"",H79*F79)</x:f>
        <x:v>0</x:v>
      </x:c>
      <x:c r="Z79" s="25" t="n">
        <x:f>IF('Setup'!$B$22&gt;0,"",O79+P79)</x:f>
        <x:v>3006.7200000000003</x:v>
      </x:c>
      <x:c r="AA79" s="25" t="n">
        <x:f>IF('Setup'!$B$22&gt;0,"",'Processes'!D7*I79*'Processes'!E7*'Processes'!J7)</x:f>
        <x:v>3006.7200000000003</x:v>
      </x:c>
    </x:row>
    <x:row r="80" ht="23" customHeight="1">
      <x:c r="A80" s="1" t="str">
        <x:v>Disruption</x:v>
      </x:c>
      <x:c r="B80" s="1" t="n">
        <x:v>1</x:v>
      </x:c>
      <x:c r="C80" s="1" t="str">
        <x:f>'Processes'!A8</x:f>
        <x:v>Ship</x:v>
      </x:c>
      <x:c r="D80" s="22" t="n">
        <x:f>IF('Setup'!$B$22&gt;0,"",'Staffing'!E6)</x:f>
        <x:v>10</x:v>
      </x:c>
      <x:c r="E80" s="22" t="n">
        <x:f>IF('Setup'!$B$22&gt;0,"",IF(B80&gt;='Processes'!N8,'Processes'!O8,0))</x:f>
        <x:v>0</x:v>
      </x:c>
      <x:c r="F80" s="23" t="n">
        <x:f>IF('Setup'!$B$22&gt;0,"",IF(E80=0,0,INDEX('Setup'!$B$9:$B$13,MIN(5,B80-'Processes'!N8+1))))</x:f>
        <x:v>0</x:v>
      </x:c>
      <x:c r="G80" s="22" t="n">
        <x:f>IF('Setup'!$B$22&gt;0,"",MIN(D80,'Processes'!M8))</x:f>
        <x:v>10</x:v>
      </x:c>
      <x:c r="H80" s="22" t="n">
        <x:f>IF('Setup'!$B$22&gt;0,"",MIN(E80,MAX(0,'Processes'!M8-G80)))</x:f>
        <x:v>0</x:v>
      </x:c>
      <x:c r="I80" s="23" t="n">
        <x:f>IF('Setup'!$B$22&gt;0,"",1-'Processes'!G8-'Setup'!C19)</x:f>
        <x:v>0.87</x:v>
      </x:c>
      <x:c r="J80" s="22" t="n">
        <x:f>IF('Setup'!$B$22&gt;0,"",(G80+H80*F80)*I80*'Processes'!F8)</x:f>
        <x:v>56.55</x:v>
      </x:c>
      <x:c r="K80" s="22" t="n">
        <x:f>IF('Setup'!$B$22&gt;0,"",(G80+H80*F80)*I80*V80*'Processes'!H8)</x:f>
        <x:v>0</x:v>
      </x:c>
      <x:c r="L80" s="22" t="n">
        <x:f>IF('Setup'!$B$22&gt;0,"",(J80+K80)*'Processes'!C8*'Setup'!D19/'Processes'!B8)</x:f>
        <x:v>5089.5</x:v>
      </x:c>
      <x:c r="M80" s="22" t="n">
        <x:f>IF('Setup'!$B$22&gt;0,"",'Processes'!L8*'Setup'!E19)</x:f>
        <x:v>6800</x:v>
      </x:c>
      <x:c r="N80" s="24" t="n">
        <x:f>IF('Setup'!$B$22&gt;0,"",INT(MIN(L80,M80)))</x:f>
        <x:v>5089</x:v>
      </x:c>
      <x:c r="O80" s="25" t="n">
        <x:f>IF('Setup'!$B$22&gt;0,"",(D80+E80)*I80*'Processes'!E8*'Processes'!J8)</x:f>
        <x:v>1809.6</x:v>
      </x:c>
      <x:c r="P80" s="25" t="n">
        <x:f>IF('Setup'!$B$22&gt;0,"",(D80+E80)*I80*V80*'Processes'!J8*'Processes'!K8)</x:f>
        <x:v>0</x:v>
      </x:c>
      <x:c r="Q80" s="25" t="n">
        <x:f>IF('Setup'!$B$22&gt;0,"",Z80-AA80)</x:f>
        <x:v>0</x:v>
      </x:c>
      <x:c r="R80" s="22" t="n">
        <x:f>IF('Setup'!$B$22&gt;0,"",D80+E80)</x:f>
        <x:v>10</x:v>
      </x:c>
      <x:c r="S80" s="22" t="n">
        <x:f>IF('Setup'!$B$22&gt;0,"",'Processes'!M8)</x:f>
        <x:v>16</x:v>
      </x:c>
      <x:c r="T80" s="22" t="n">
        <x:f>IF('Setup'!$B$22&gt;0,"",MAX(0,R80-S80))</x:f>
        <x:v>0</x:v>
      </x:c>
      <x:c r="U80" s="22" t="n">
        <x:f>IF('Setup'!$B$22&gt;0,"",'Staffing'!H6)</x:f>
        <x:v>0</x:v>
      </x:c>
      <x:c r="V80" s="22" t="n">
        <x:f>IF('Setup'!$B$22&gt;0,"",MIN(U80,'Processes'!I8))</x:f>
        <x:v>0</x:v>
      </x:c>
      <x:c r="W80" s="22" t="n">
        <x:f>IF('Setup'!$B$22&gt;0,"",MAX(0,U80-V80))</x:f>
        <x:v>0</x:v>
      </x:c>
      <x:c r="X80" s="22" t="n">
        <x:f>IF('Setup'!$B$22&gt;0,"",I80*('Processes'!F8+V80*'Processes'!H8)*'Processes'!C8*'Setup'!D19/'Processes'!B8)</x:f>
        <x:v>508.95</x:v>
      </x:c>
      <x:c r="Y80" s="22" t="n">
        <x:f>IF('Setup'!$B$22&gt;0,"",H80*F80)</x:f>
        <x:v>0</x:v>
      </x:c>
      <x:c r="Z80" s="25" t="n">
        <x:f>IF('Setup'!$B$22&gt;0,"",O80+P80)</x:f>
        <x:v>1809.6</x:v>
      </x:c>
      <x:c r="AA80" s="25" t="n">
        <x:f>IF('Setup'!$B$22&gt;0,"",'Processes'!D8*I80*'Processes'!E8*'Processes'!J8)</x:f>
        <x:v>1809.6</x:v>
      </x:c>
    </x:row>
    <x:row r="81" ht="23" customHeight="1">
      <x:c r="A81" s="1" t="str">
        <x:v>Disruption</x:v>
      </x:c>
      <x:c r="B81" s="1" t="n">
        <x:v>2</x:v>
      </x:c>
      <x:c r="C81" s="1" t="str">
        <x:f>'Processes'!A6</x:f>
        <x:v>Pick</x:v>
      </x:c>
      <x:c r="D81" s="22" t="n">
        <x:f>IF('Setup'!$B$22&gt;0,"",'Staffing'!C7)</x:f>
        <x:v>24</x:v>
      </x:c>
      <x:c r="E81" s="22" t="n">
        <x:f>IF('Setup'!$B$22&gt;0,"",IF(B81&gt;='Processes'!N6,'Processes'!O6,0))</x:f>
        <x:v>0</x:v>
      </x:c>
      <x:c r="F81" s="23" t="n">
        <x:f>IF('Setup'!$B$22&gt;0,"",IF(E81=0,0,INDEX('Setup'!$B$9:$B$13,MIN(5,B81-'Processes'!N6+1))))</x:f>
        <x:v>0</x:v>
      </x:c>
      <x:c r="G81" s="22" t="n">
        <x:f>IF('Setup'!$B$22&gt;0,"",MIN(D81,'Processes'!M6))</x:f>
        <x:v>24</x:v>
      </x:c>
      <x:c r="H81" s="22" t="n">
        <x:f>IF('Setup'!$B$22&gt;0,"",MIN(E81,MAX(0,'Processes'!M6-G81)))</x:f>
        <x:v>0</x:v>
      </x:c>
      <x:c r="I81" s="23" t="n">
        <x:f>IF('Setup'!$B$22&gt;0,"",1-'Processes'!G6-'Setup'!C19)</x:f>
        <x:v>0.87</x:v>
      </x:c>
      <x:c r="J81" s="22" t="n">
        <x:f>IF('Setup'!$B$22&gt;0,"",(G81+H81*F81)*I81*'Processes'!F6)</x:f>
        <x:v>135.72</x:v>
      </x:c>
      <x:c r="K81" s="22" t="n">
        <x:f>IF('Setup'!$B$22&gt;0,"",(G81+H81*F81)*I81*V81*'Processes'!H6)</x:f>
        <x:v>0</x:v>
      </x:c>
      <x:c r="L81" s="22" t="n">
        <x:f>IF('Setup'!$B$22&gt;0,"",(J81+K81)*'Processes'!C6*'Setup'!D19/'Processes'!B6)</x:f>
        <x:v>6107.400000000001</x:v>
      </x:c>
      <x:c r="M81" s="22" t="n">
        <x:f>IF('Setup'!$B$22&gt;0,"",'Processes'!L6*'Setup'!E19)</x:f>
        <x:v>8500</x:v>
      </x:c>
      <x:c r="N81" s="24" t="n">
        <x:f>IF('Setup'!$B$22&gt;0,"",INT(MIN(L81,M81)))</x:f>
        <x:v>6107</x:v>
      </x:c>
      <x:c r="O81" s="25" t="n">
        <x:f>IF('Setup'!$B$22&gt;0,"",(D81+E81)*I81*'Processes'!E6*'Processes'!J6)</x:f>
        <x:v>4008.96</x:v>
      </x:c>
      <x:c r="P81" s="25" t="n">
        <x:f>IF('Setup'!$B$22&gt;0,"",(D81+E81)*I81*V81*'Processes'!J6*'Processes'!K6)</x:f>
        <x:v>0</x:v>
      </x:c>
      <x:c r="Q81" s="25" t="n">
        <x:f>IF('Setup'!$B$22&gt;0,"",Z81-AA81)</x:f>
        <x:v>0</x:v>
      </x:c>
      <x:c r="R81" s="22" t="n">
        <x:f>IF('Setup'!$B$22&gt;0,"",D81+E81)</x:f>
        <x:v>24</x:v>
      </x:c>
      <x:c r="S81" s="22" t="n">
        <x:f>IF('Setup'!$B$22&gt;0,"",'Processes'!M6)</x:f>
        <x:v>32</x:v>
      </x:c>
      <x:c r="T81" s="22" t="n">
        <x:f>IF('Setup'!$B$22&gt;0,"",MAX(0,R81-S81))</x:f>
        <x:v>0</x:v>
      </x:c>
      <x:c r="U81" s="22" t="n">
        <x:f>IF('Setup'!$B$22&gt;0,"",'Staffing'!F7)</x:f>
        <x:v>0</x:v>
      </x:c>
      <x:c r="V81" s="22" t="n">
        <x:f>IF('Setup'!$B$22&gt;0,"",MIN(U81,'Processes'!I6))</x:f>
        <x:v>0</x:v>
      </x:c>
      <x:c r="W81" s="22" t="n">
        <x:f>IF('Setup'!$B$22&gt;0,"",MAX(0,U81-V81))</x:f>
        <x:v>0</x:v>
      </x:c>
      <x:c r="X81" s="22" t="n">
        <x:f>IF('Setup'!$B$22&gt;0,"",I81*('Processes'!F6+V81*'Processes'!H6)*'Processes'!C6*'Setup'!D19/'Processes'!B6)</x:f>
        <x:v>254.475</x:v>
      </x:c>
      <x:c r="Y81" s="22" t="n">
        <x:f>IF('Setup'!$B$22&gt;0,"",H81*F81)</x:f>
        <x:v>0</x:v>
      </x:c>
      <x:c r="Z81" s="25" t="n">
        <x:f>IF('Setup'!$B$22&gt;0,"",O81+P81)</x:f>
        <x:v>4008.96</x:v>
      </x:c>
      <x:c r="AA81" s="25" t="n">
        <x:f>IF('Setup'!$B$22&gt;0,"",'Processes'!D6*I81*'Processes'!E6*'Processes'!J6)</x:f>
        <x:v>4008.96</x:v>
      </x:c>
    </x:row>
    <x:row r="82" ht="23" customHeight="1">
      <x:c r="A82" s="1" t="str">
        <x:v>Disruption</x:v>
      </x:c>
      <x:c r="B82" s="1" t="n">
        <x:v>2</x:v>
      </x:c>
      <x:c r="C82" s="1" t="str">
        <x:f>'Processes'!A7</x:f>
        <x:v>Pack</x:v>
      </x:c>
      <x:c r="D82" s="22" t="n">
        <x:f>IF('Setup'!$B$22&gt;0,"",'Staffing'!D7)</x:f>
        <x:v>18</x:v>
      </x:c>
      <x:c r="E82" s="22" t="n">
        <x:f>IF('Setup'!$B$22&gt;0,"",IF(B82&gt;='Processes'!N7,'Processes'!O7,0))</x:f>
        <x:v>0</x:v>
      </x:c>
      <x:c r="F82" s="23" t="n">
        <x:f>IF('Setup'!$B$22&gt;0,"",IF(E82=0,0,INDEX('Setup'!$B$9:$B$13,MIN(5,B82-'Processes'!N7+1))))</x:f>
        <x:v>0</x:v>
      </x:c>
      <x:c r="G82" s="22" t="n">
        <x:f>IF('Setup'!$B$22&gt;0,"",MIN(D82,'Processes'!M7))</x:f>
        <x:v>18</x:v>
      </x:c>
      <x:c r="H82" s="22" t="n">
        <x:f>IF('Setup'!$B$22&gt;0,"",MIN(E82,MAX(0,'Processes'!M7-G82)))</x:f>
        <x:v>0</x:v>
      </x:c>
      <x:c r="I82" s="23" t="n">
        <x:f>IF('Setup'!$B$22&gt;0,"",1-'Processes'!G7-'Setup'!C19)</x:f>
        <x:v>0.87</x:v>
      </x:c>
      <x:c r="J82" s="22" t="n">
        <x:f>IF('Setup'!$B$22&gt;0,"",(G82+H82*F82)*I82*'Processes'!F7)</x:f>
        <x:v>101.79</x:v>
      </x:c>
      <x:c r="K82" s="22" t="n">
        <x:f>IF('Setup'!$B$22&gt;0,"",(G82+H82*F82)*I82*V82*'Processes'!H7)</x:f>
        <x:v>0</x:v>
      </x:c>
      <x:c r="L82" s="22" t="n">
        <x:f>IF('Setup'!$B$22&gt;0,"",(J82+K82)*'Processes'!C7*'Setup'!D19/'Processes'!B7)</x:f>
        <x:v>5496.660000000001</x:v>
      </x:c>
      <x:c r="M82" s="22" t="n">
        <x:f>IF('Setup'!$B$22&gt;0,"",'Processes'!L7*'Setup'!E19)</x:f>
        <x:v>7650</x:v>
      </x:c>
      <x:c r="N82" s="24" t="n">
        <x:f>IF('Setup'!$B$22&gt;0,"",INT(MIN(L82,M82)))</x:f>
        <x:v>5496</x:v>
      </x:c>
      <x:c r="O82" s="25" t="n">
        <x:f>IF('Setup'!$B$22&gt;0,"",(D82+E82)*I82*'Processes'!E7*'Processes'!J7)</x:f>
        <x:v>3006.7200000000003</x:v>
      </x:c>
      <x:c r="P82" s="25" t="n">
        <x:f>IF('Setup'!$B$22&gt;0,"",(D82+E82)*I82*V82*'Processes'!J7*'Processes'!K7)</x:f>
        <x:v>0</x:v>
      </x:c>
      <x:c r="Q82" s="25" t="n">
        <x:f>IF('Setup'!$B$22&gt;0,"",Z82-AA82)</x:f>
        <x:v>0</x:v>
      </x:c>
      <x:c r="R82" s="22" t="n">
        <x:f>IF('Setup'!$B$22&gt;0,"",D82+E82)</x:f>
        <x:v>18</x:v>
      </x:c>
      <x:c r="S82" s="22" t="n">
        <x:f>IF('Setup'!$B$22&gt;0,"",'Processes'!M7)</x:f>
        <x:v>26</x:v>
      </x:c>
      <x:c r="T82" s="22" t="n">
        <x:f>IF('Setup'!$B$22&gt;0,"",MAX(0,R82-S82))</x:f>
        <x:v>0</x:v>
      </x:c>
      <x:c r="U82" s="22" t="n">
        <x:f>IF('Setup'!$B$22&gt;0,"",'Staffing'!G7)</x:f>
        <x:v>0</x:v>
      </x:c>
      <x:c r="V82" s="22" t="n">
        <x:f>IF('Setup'!$B$22&gt;0,"",MIN(U82,'Processes'!I7))</x:f>
        <x:v>0</x:v>
      </x:c>
      <x:c r="W82" s="22" t="n">
        <x:f>IF('Setup'!$B$22&gt;0,"",MAX(0,U82-V82))</x:f>
        <x:v>0</x:v>
      </x:c>
      <x:c r="X82" s="22" t="n">
        <x:f>IF('Setup'!$B$22&gt;0,"",I82*('Processes'!F7+V82*'Processes'!H7)*'Processes'!C7*'Setup'!D19/'Processes'!B7)</x:f>
        <x:v>305.37</x:v>
      </x:c>
      <x:c r="Y82" s="22" t="n">
        <x:f>IF('Setup'!$B$22&gt;0,"",H82*F82)</x:f>
        <x:v>0</x:v>
      </x:c>
      <x:c r="Z82" s="25" t="n">
        <x:f>IF('Setup'!$B$22&gt;0,"",O82+P82)</x:f>
        <x:v>3006.7200000000003</x:v>
      </x:c>
      <x:c r="AA82" s="25" t="n">
        <x:f>IF('Setup'!$B$22&gt;0,"",'Processes'!D7*I82*'Processes'!E7*'Processes'!J7)</x:f>
        <x:v>3006.7200000000003</x:v>
      </x:c>
    </x:row>
    <x:row r="83" ht="23" customHeight="1">
      <x:c r="A83" s="1" t="str">
        <x:v>Disruption</x:v>
      </x:c>
      <x:c r="B83" s="1" t="n">
        <x:v>2</x:v>
      </x:c>
      <x:c r="C83" s="1" t="str">
        <x:f>'Processes'!A8</x:f>
        <x:v>Ship</x:v>
      </x:c>
      <x:c r="D83" s="22" t="n">
        <x:f>IF('Setup'!$B$22&gt;0,"",'Staffing'!E7)</x:f>
        <x:v>10</x:v>
      </x:c>
      <x:c r="E83" s="22" t="n">
        <x:f>IF('Setup'!$B$22&gt;0,"",IF(B83&gt;='Processes'!N8,'Processes'!O8,0))</x:f>
        <x:v>0</x:v>
      </x:c>
      <x:c r="F83" s="23" t="n">
        <x:f>IF('Setup'!$B$22&gt;0,"",IF(E83=0,0,INDEX('Setup'!$B$9:$B$13,MIN(5,B83-'Processes'!N8+1))))</x:f>
        <x:v>0</x:v>
      </x:c>
      <x:c r="G83" s="22" t="n">
        <x:f>IF('Setup'!$B$22&gt;0,"",MIN(D83,'Processes'!M8))</x:f>
        <x:v>10</x:v>
      </x:c>
      <x:c r="H83" s="22" t="n">
        <x:f>IF('Setup'!$B$22&gt;0,"",MIN(E83,MAX(0,'Processes'!M8-G83)))</x:f>
        <x:v>0</x:v>
      </x:c>
      <x:c r="I83" s="23" t="n">
        <x:f>IF('Setup'!$B$22&gt;0,"",1-'Processes'!G8-'Setup'!C19)</x:f>
        <x:v>0.87</x:v>
      </x:c>
      <x:c r="J83" s="22" t="n">
        <x:f>IF('Setup'!$B$22&gt;0,"",(G83+H83*F83)*I83*'Processes'!F8)</x:f>
        <x:v>56.55</x:v>
      </x:c>
      <x:c r="K83" s="22" t="n">
        <x:f>IF('Setup'!$B$22&gt;0,"",(G83+H83*F83)*I83*V83*'Processes'!H8)</x:f>
        <x:v>0</x:v>
      </x:c>
      <x:c r="L83" s="22" t="n">
        <x:f>IF('Setup'!$B$22&gt;0,"",(J83+K83)*'Processes'!C8*'Setup'!D19/'Processes'!B8)</x:f>
        <x:v>5089.5</x:v>
      </x:c>
      <x:c r="M83" s="22" t="n">
        <x:f>IF('Setup'!$B$22&gt;0,"",'Processes'!L8*'Setup'!E19)</x:f>
        <x:v>6800</x:v>
      </x:c>
      <x:c r="N83" s="24" t="n">
        <x:f>IF('Setup'!$B$22&gt;0,"",INT(MIN(L83,M83)))</x:f>
        <x:v>5089</x:v>
      </x:c>
      <x:c r="O83" s="25" t="n">
        <x:f>IF('Setup'!$B$22&gt;0,"",(D83+E83)*I83*'Processes'!E8*'Processes'!J8)</x:f>
        <x:v>1809.6</x:v>
      </x:c>
      <x:c r="P83" s="25" t="n">
        <x:f>IF('Setup'!$B$22&gt;0,"",(D83+E83)*I83*V83*'Processes'!J8*'Processes'!K8)</x:f>
        <x:v>0</x:v>
      </x:c>
      <x:c r="Q83" s="25" t="n">
        <x:f>IF('Setup'!$B$22&gt;0,"",Z83-AA83)</x:f>
        <x:v>0</x:v>
      </x:c>
      <x:c r="R83" s="22" t="n">
        <x:f>IF('Setup'!$B$22&gt;0,"",D83+E83)</x:f>
        <x:v>10</x:v>
      </x:c>
      <x:c r="S83" s="22" t="n">
        <x:f>IF('Setup'!$B$22&gt;0,"",'Processes'!M8)</x:f>
        <x:v>16</x:v>
      </x:c>
      <x:c r="T83" s="22" t="n">
        <x:f>IF('Setup'!$B$22&gt;0,"",MAX(0,R83-S83))</x:f>
        <x:v>0</x:v>
      </x:c>
      <x:c r="U83" s="22" t="n">
        <x:f>IF('Setup'!$B$22&gt;0,"",'Staffing'!H7)</x:f>
        <x:v>0</x:v>
      </x:c>
      <x:c r="V83" s="22" t="n">
        <x:f>IF('Setup'!$B$22&gt;0,"",MIN(U83,'Processes'!I8))</x:f>
        <x:v>0</x:v>
      </x:c>
      <x:c r="W83" s="22" t="n">
        <x:f>IF('Setup'!$B$22&gt;0,"",MAX(0,U83-V83))</x:f>
        <x:v>0</x:v>
      </x:c>
      <x:c r="X83" s="22" t="n">
        <x:f>IF('Setup'!$B$22&gt;0,"",I83*('Processes'!F8+V83*'Processes'!H8)*'Processes'!C8*'Setup'!D19/'Processes'!B8)</x:f>
        <x:v>508.95</x:v>
      </x:c>
      <x:c r="Y83" s="22" t="n">
        <x:f>IF('Setup'!$B$22&gt;0,"",H83*F83)</x:f>
        <x:v>0</x:v>
      </x:c>
      <x:c r="Z83" s="25" t="n">
        <x:f>IF('Setup'!$B$22&gt;0,"",O83+P83)</x:f>
        <x:v>1809.6</x:v>
      </x:c>
      <x:c r="AA83" s="25" t="n">
        <x:f>IF('Setup'!$B$22&gt;0,"",'Processes'!D8*I83*'Processes'!E8*'Processes'!J8)</x:f>
        <x:v>1809.6</x:v>
      </x:c>
    </x:row>
    <x:row r="84" ht="23" customHeight="1">
      <x:c r="A84" s="1" t="str">
        <x:v>Disruption</x:v>
      </x:c>
      <x:c r="B84" s="1" t="n">
        <x:v>3</x:v>
      </x:c>
      <x:c r="C84" s="1" t="str">
        <x:f>'Processes'!A6</x:f>
        <x:v>Pick</x:v>
      </x:c>
      <x:c r="D84" s="22" t="n">
        <x:f>IF('Setup'!$B$22&gt;0,"",'Staffing'!C8)</x:f>
        <x:v>24</x:v>
      </x:c>
      <x:c r="E84" s="22" t="n">
        <x:f>IF('Setup'!$B$22&gt;0,"",IF(B84&gt;='Processes'!N6,'Processes'!O6,0))</x:f>
        <x:v>4</x:v>
      </x:c>
      <x:c r="F84" s="23" t="n">
        <x:f>IF('Setup'!$B$22&gt;0,"",IF(E84=0,0,INDEX('Setup'!$B$9:$B$13,MIN(5,B84-'Processes'!N6+1))))</x:f>
        <x:v>0.5</x:v>
      </x:c>
      <x:c r="G84" s="22" t="n">
        <x:f>IF('Setup'!$B$22&gt;0,"",MIN(D84,'Processes'!M6))</x:f>
        <x:v>24</x:v>
      </x:c>
      <x:c r="H84" s="22" t="n">
        <x:f>IF('Setup'!$B$22&gt;0,"",MIN(E84,MAX(0,'Processes'!M6-G84)))</x:f>
        <x:v>4</x:v>
      </x:c>
      <x:c r="I84" s="23" t="n">
        <x:f>IF('Setup'!$B$22&gt;0,"",1-'Processes'!G6-'Setup'!C19)</x:f>
        <x:v>0.87</x:v>
      </x:c>
      <x:c r="J84" s="22" t="n">
        <x:f>IF('Setup'!$B$22&gt;0,"",(G84+H84*F84)*I84*'Processes'!F6)</x:f>
        <x:v>147.03</x:v>
      </x:c>
      <x:c r="K84" s="22" t="n">
        <x:f>IF('Setup'!$B$22&gt;0,"",(G84+H84*F84)*I84*V84*'Processes'!H6)</x:f>
        <x:v>0</x:v>
      </x:c>
      <x:c r="L84" s="22" t="n">
        <x:f>IF('Setup'!$B$22&gt;0,"",(J84+K84)*'Processes'!C6*'Setup'!D19/'Processes'!B6)</x:f>
        <x:v>6616.35</x:v>
      </x:c>
      <x:c r="M84" s="22" t="n">
        <x:f>IF('Setup'!$B$22&gt;0,"",'Processes'!L6*'Setup'!E19)</x:f>
        <x:v>8500</x:v>
      </x:c>
      <x:c r="N84" s="24" t="n">
        <x:f>IF('Setup'!$B$22&gt;0,"",INT(MIN(L84,M84)))</x:f>
        <x:v>6616</x:v>
      </x:c>
      <x:c r="O84" s="25" t="n">
        <x:f>IF('Setup'!$B$22&gt;0,"",(D84+E84)*I84*'Processes'!E6*'Processes'!J6)</x:f>
        <x:v>4677.12</x:v>
      </x:c>
      <x:c r="P84" s="25" t="n">
        <x:f>IF('Setup'!$B$22&gt;0,"",(D84+E84)*I84*V84*'Processes'!J6*'Processes'!K6)</x:f>
        <x:v>0</x:v>
      </x:c>
      <x:c r="Q84" s="25" t="n">
        <x:f>IF('Setup'!$B$22&gt;0,"",Z84-AA84)</x:f>
        <x:v>668.1599999999999</x:v>
      </x:c>
      <x:c r="R84" s="22" t="n">
        <x:f>IF('Setup'!$B$22&gt;0,"",D84+E84)</x:f>
        <x:v>28</x:v>
      </x:c>
      <x:c r="S84" s="22" t="n">
        <x:f>IF('Setup'!$B$22&gt;0,"",'Processes'!M6)</x:f>
        <x:v>32</x:v>
      </x:c>
      <x:c r="T84" s="22" t="n">
        <x:f>IF('Setup'!$B$22&gt;0,"",MAX(0,R84-S84))</x:f>
        <x:v>0</x:v>
      </x:c>
      <x:c r="U84" s="22" t="n">
        <x:f>IF('Setup'!$B$22&gt;0,"",'Staffing'!F8)</x:f>
        <x:v>0</x:v>
      </x:c>
      <x:c r="V84" s="22" t="n">
        <x:f>IF('Setup'!$B$22&gt;0,"",MIN(U84,'Processes'!I6))</x:f>
        <x:v>0</x:v>
      </x:c>
      <x:c r="W84" s="22" t="n">
        <x:f>IF('Setup'!$B$22&gt;0,"",MAX(0,U84-V84))</x:f>
        <x:v>0</x:v>
      </x:c>
      <x:c r="X84" s="22" t="n">
        <x:f>IF('Setup'!$B$22&gt;0,"",I84*('Processes'!F6+V84*'Processes'!H6)*'Processes'!C6*'Setup'!D19/'Processes'!B6)</x:f>
        <x:v>254.475</x:v>
      </x:c>
      <x:c r="Y84" s="22" t="n">
        <x:f>IF('Setup'!$B$22&gt;0,"",H84*F84)</x:f>
        <x:v>2</x:v>
      </x:c>
      <x:c r="Z84" s="25" t="n">
        <x:f>IF('Setup'!$B$22&gt;0,"",O84+P84)</x:f>
        <x:v>4677.12</x:v>
      </x:c>
      <x:c r="AA84" s="25" t="n">
        <x:f>IF('Setup'!$B$22&gt;0,"",'Processes'!D6*I84*'Processes'!E6*'Processes'!J6)</x:f>
        <x:v>4008.96</x:v>
      </x:c>
    </x:row>
    <x:row r="85" ht="23" customHeight="1">
      <x:c r="A85" s="1" t="str">
        <x:v>Disruption</x:v>
      </x:c>
      <x:c r="B85" s="1" t="n">
        <x:v>3</x:v>
      </x:c>
      <x:c r="C85" s="1" t="str">
        <x:f>'Processes'!A7</x:f>
        <x:v>Pack</x:v>
      </x:c>
      <x:c r="D85" s="22" t="n">
        <x:f>IF('Setup'!$B$22&gt;0,"",'Staffing'!D8)</x:f>
        <x:v>18</x:v>
      </x:c>
      <x:c r="E85" s="22" t="n">
        <x:f>IF('Setup'!$B$22&gt;0,"",IF(B85&gt;='Processes'!N7,'Processes'!O7,0))</x:f>
        <x:v>4</x:v>
      </x:c>
      <x:c r="F85" s="23" t="n">
        <x:f>IF('Setup'!$B$22&gt;0,"",IF(E85=0,0,INDEX('Setup'!$B$9:$B$13,MIN(5,B85-'Processes'!N7+1))))</x:f>
        <x:v>0.5</x:v>
      </x:c>
      <x:c r="G85" s="22" t="n">
        <x:f>IF('Setup'!$B$22&gt;0,"",MIN(D85,'Processes'!M7))</x:f>
        <x:v>18</x:v>
      </x:c>
      <x:c r="H85" s="22" t="n">
        <x:f>IF('Setup'!$B$22&gt;0,"",MIN(E85,MAX(0,'Processes'!M7-G85)))</x:f>
        <x:v>4</x:v>
      </x:c>
      <x:c r="I85" s="23" t="n">
        <x:f>IF('Setup'!$B$22&gt;0,"",1-'Processes'!G7-'Setup'!C19)</x:f>
        <x:v>0.87</x:v>
      </x:c>
      <x:c r="J85" s="22" t="n">
        <x:f>IF('Setup'!$B$22&gt;0,"",(G85+H85*F85)*I85*'Processes'!F7)</x:f>
        <x:v>113.1</x:v>
      </x:c>
      <x:c r="K85" s="22" t="n">
        <x:f>IF('Setup'!$B$22&gt;0,"",(G85+H85*F85)*I85*V85*'Processes'!H7)</x:f>
        <x:v>0</x:v>
      </x:c>
      <x:c r="L85" s="22" t="n">
        <x:f>IF('Setup'!$B$22&gt;0,"",(J85+K85)*'Processes'!C7*'Setup'!D19/'Processes'!B7)</x:f>
        <x:v>6107.400000000001</x:v>
      </x:c>
      <x:c r="M85" s="22" t="n">
        <x:f>IF('Setup'!$B$22&gt;0,"",'Processes'!L7*'Setup'!E19)</x:f>
        <x:v>7650</x:v>
      </x:c>
      <x:c r="N85" s="24" t="n">
        <x:f>IF('Setup'!$B$22&gt;0,"",INT(MIN(L85,M85)))</x:f>
        <x:v>6107</x:v>
      </x:c>
      <x:c r="O85" s="25" t="n">
        <x:f>IF('Setup'!$B$22&gt;0,"",(D85+E85)*I85*'Processes'!E7*'Processes'!J7)</x:f>
        <x:v>3674.88</x:v>
      </x:c>
      <x:c r="P85" s="25" t="n">
        <x:f>IF('Setup'!$B$22&gt;0,"",(D85+E85)*I85*V85*'Processes'!J7*'Processes'!K7)</x:f>
        <x:v>0</x:v>
      </x:c>
      <x:c r="Q85" s="25" t="n">
        <x:f>IF('Setup'!$B$22&gt;0,"",Z85-AA85)</x:f>
        <x:v>668.1599999999999</x:v>
      </x:c>
      <x:c r="R85" s="22" t="n">
        <x:f>IF('Setup'!$B$22&gt;0,"",D85+E85)</x:f>
        <x:v>22</x:v>
      </x:c>
      <x:c r="S85" s="22" t="n">
        <x:f>IF('Setup'!$B$22&gt;0,"",'Processes'!M7)</x:f>
        <x:v>26</x:v>
      </x:c>
      <x:c r="T85" s="22" t="n">
        <x:f>IF('Setup'!$B$22&gt;0,"",MAX(0,R85-S85))</x:f>
        <x:v>0</x:v>
      </x:c>
      <x:c r="U85" s="22" t="n">
        <x:f>IF('Setup'!$B$22&gt;0,"",'Staffing'!G8)</x:f>
        <x:v>0</x:v>
      </x:c>
      <x:c r="V85" s="22" t="n">
        <x:f>IF('Setup'!$B$22&gt;0,"",MIN(U85,'Processes'!I7))</x:f>
        <x:v>0</x:v>
      </x:c>
      <x:c r="W85" s="22" t="n">
        <x:f>IF('Setup'!$B$22&gt;0,"",MAX(0,U85-V85))</x:f>
        <x:v>0</x:v>
      </x:c>
      <x:c r="X85" s="22" t="n">
        <x:f>IF('Setup'!$B$22&gt;0,"",I85*('Processes'!F7+V85*'Processes'!H7)*'Processes'!C7*'Setup'!D19/'Processes'!B7)</x:f>
        <x:v>305.37</x:v>
      </x:c>
      <x:c r="Y85" s="22" t="n">
        <x:f>IF('Setup'!$B$22&gt;0,"",H85*F85)</x:f>
        <x:v>2</x:v>
      </x:c>
      <x:c r="Z85" s="25" t="n">
        <x:f>IF('Setup'!$B$22&gt;0,"",O85+P85)</x:f>
        <x:v>3674.88</x:v>
      </x:c>
      <x:c r="AA85" s="25" t="n">
        <x:f>IF('Setup'!$B$22&gt;0,"",'Processes'!D7*I85*'Processes'!E7*'Processes'!J7)</x:f>
        <x:v>3006.7200000000003</x:v>
      </x:c>
    </x:row>
    <x:row r="86" ht="23" customHeight="1">
      <x:c r="A86" s="1" t="str">
        <x:v>Disruption</x:v>
      </x:c>
      <x:c r="B86" s="1" t="n">
        <x:v>3</x:v>
      </x:c>
      <x:c r="C86" s="1" t="str">
        <x:f>'Processes'!A8</x:f>
        <x:v>Ship</x:v>
      </x:c>
      <x:c r="D86" s="22" t="n">
        <x:f>IF('Setup'!$B$22&gt;0,"",'Staffing'!E8)</x:f>
        <x:v>10</x:v>
      </x:c>
      <x:c r="E86" s="22" t="n">
        <x:f>IF('Setup'!$B$22&gt;0,"",IF(B86&gt;='Processes'!N8,'Processes'!O8,0))</x:f>
        <x:v>3</x:v>
      </x:c>
      <x:c r="F86" s="23" t="n">
        <x:f>IF('Setup'!$B$22&gt;0,"",IF(E86=0,0,INDEX('Setup'!$B$9:$B$13,MIN(5,B86-'Processes'!N8+1))))</x:f>
        <x:v>0.5</x:v>
      </x:c>
      <x:c r="G86" s="22" t="n">
        <x:f>IF('Setup'!$B$22&gt;0,"",MIN(D86,'Processes'!M8))</x:f>
        <x:v>10</x:v>
      </x:c>
      <x:c r="H86" s="22" t="n">
        <x:f>IF('Setup'!$B$22&gt;0,"",MIN(E86,MAX(0,'Processes'!M8-G86)))</x:f>
        <x:v>3</x:v>
      </x:c>
      <x:c r="I86" s="23" t="n">
        <x:f>IF('Setup'!$B$22&gt;0,"",1-'Processes'!G8-'Setup'!C19)</x:f>
        <x:v>0.87</x:v>
      </x:c>
      <x:c r="J86" s="22" t="n">
        <x:f>IF('Setup'!$B$22&gt;0,"",(G86+H86*F86)*I86*'Processes'!F8)</x:f>
        <x:v>65.0325</x:v>
      </x:c>
      <x:c r="K86" s="22" t="n">
        <x:f>IF('Setup'!$B$22&gt;0,"",(G86+H86*F86)*I86*V86*'Processes'!H8)</x:f>
        <x:v>0</x:v>
      </x:c>
      <x:c r="L86" s="22" t="n">
        <x:f>IF('Setup'!$B$22&gt;0,"",(J86+K86)*'Processes'!C8*'Setup'!D19/'Processes'!B8)</x:f>
        <x:v>5852.925</x:v>
      </x:c>
      <x:c r="M86" s="22" t="n">
        <x:f>IF('Setup'!$B$22&gt;0,"",'Processes'!L8*'Setup'!E19)</x:f>
        <x:v>6800</x:v>
      </x:c>
      <x:c r="N86" s="24" t="n">
        <x:f>IF('Setup'!$B$22&gt;0,"",INT(MIN(L86,M86)))</x:f>
        <x:v>5852</x:v>
      </x:c>
      <x:c r="O86" s="25" t="n">
        <x:f>IF('Setup'!$B$22&gt;0,"",(D86+E86)*I86*'Processes'!E8*'Processes'!J8)</x:f>
        <x:v>2352.48</x:v>
      </x:c>
      <x:c r="P86" s="25" t="n">
        <x:f>IF('Setup'!$B$22&gt;0,"",(D86+E86)*I86*V86*'Processes'!J8*'Processes'!K8)</x:f>
        <x:v>0</x:v>
      </x:c>
      <x:c r="Q86" s="25" t="n">
        <x:f>IF('Setup'!$B$22&gt;0,"",Z86-AA86)</x:f>
        <x:v>542.8800000000001</x:v>
      </x:c>
      <x:c r="R86" s="22" t="n">
        <x:f>IF('Setup'!$B$22&gt;0,"",D86+E86)</x:f>
        <x:v>13</x:v>
      </x:c>
      <x:c r="S86" s="22" t="n">
        <x:f>IF('Setup'!$B$22&gt;0,"",'Processes'!M8)</x:f>
        <x:v>16</x:v>
      </x:c>
      <x:c r="T86" s="22" t="n">
        <x:f>IF('Setup'!$B$22&gt;0,"",MAX(0,R86-S86))</x:f>
        <x:v>0</x:v>
      </x:c>
      <x:c r="U86" s="22" t="n">
        <x:f>IF('Setup'!$B$22&gt;0,"",'Staffing'!H8)</x:f>
        <x:v>0</x:v>
      </x:c>
      <x:c r="V86" s="22" t="n">
        <x:f>IF('Setup'!$B$22&gt;0,"",MIN(U86,'Processes'!I8))</x:f>
        <x:v>0</x:v>
      </x:c>
      <x:c r="W86" s="22" t="n">
        <x:f>IF('Setup'!$B$22&gt;0,"",MAX(0,U86-V86))</x:f>
        <x:v>0</x:v>
      </x:c>
      <x:c r="X86" s="22" t="n">
        <x:f>IF('Setup'!$B$22&gt;0,"",I86*('Processes'!F8+V86*'Processes'!H8)*'Processes'!C8*'Setup'!D19/'Processes'!B8)</x:f>
        <x:v>508.95</x:v>
      </x:c>
      <x:c r="Y86" s="22" t="n">
        <x:f>IF('Setup'!$B$22&gt;0,"",H86*F86)</x:f>
        <x:v>1.5</x:v>
      </x:c>
      <x:c r="Z86" s="25" t="n">
        <x:f>IF('Setup'!$B$22&gt;0,"",O86+P86)</x:f>
        <x:v>2352.48</x:v>
      </x:c>
      <x:c r="AA86" s="25" t="n">
        <x:f>IF('Setup'!$B$22&gt;0,"",'Processes'!D8*I86*'Processes'!E8*'Processes'!J8)</x:f>
        <x:v>1809.6</x:v>
      </x:c>
    </x:row>
    <x:row r="87" ht="23" customHeight="1">
      <x:c r="A87" s="1" t="str">
        <x:v>Disruption</x:v>
      </x:c>
      <x:c r="B87" s="1" t="n">
        <x:v>4</x:v>
      </x:c>
      <x:c r="C87" s="1" t="str">
        <x:f>'Processes'!A6</x:f>
        <x:v>Pick</x:v>
      </x:c>
      <x:c r="D87" s="22" t="n">
        <x:f>IF('Setup'!$B$22&gt;0,"",'Staffing'!C9)</x:f>
        <x:v>24</x:v>
      </x:c>
      <x:c r="E87" s="22" t="n">
        <x:f>IF('Setup'!$B$22&gt;0,"",IF(B87&gt;='Processes'!N6,'Processes'!O6,0))</x:f>
        <x:v>4</x:v>
      </x:c>
      <x:c r="F87" s="23" t="n">
        <x:f>IF('Setup'!$B$22&gt;0,"",IF(E87=0,0,INDEX('Setup'!$B$9:$B$13,MIN(5,B87-'Processes'!N6+1))))</x:f>
        <x:v>0.65</x:v>
      </x:c>
      <x:c r="G87" s="22" t="n">
        <x:f>IF('Setup'!$B$22&gt;0,"",MIN(D87,'Processes'!M6))</x:f>
        <x:v>24</x:v>
      </x:c>
      <x:c r="H87" s="22" t="n">
        <x:f>IF('Setup'!$B$22&gt;0,"",MIN(E87,MAX(0,'Processes'!M6-G87)))</x:f>
        <x:v>4</x:v>
      </x:c>
      <x:c r="I87" s="23" t="n">
        <x:f>IF('Setup'!$B$22&gt;0,"",1-'Processes'!G6-'Setup'!C19)</x:f>
        <x:v>0.87</x:v>
      </x:c>
      <x:c r="J87" s="22" t="n">
        <x:f>IF('Setup'!$B$22&gt;0,"",(G87+H87*F87)*I87*'Processes'!F6)</x:f>
        <x:v>150.423</x:v>
      </x:c>
      <x:c r="K87" s="22" t="n">
        <x:f>IF('Setup'!$B$22&gt;0,"",(G87+H87*F87)*I87*V87*'Processes'!H6)</x:f>
        <x:v>0</x:v>
      </x:c>
      <x:c r="L87" s="22" t="n">
        <x:f>IF('Setup'!$B$22&gt;0,"",(J87+K87)*'Processes'!C6*'Setup'!D19/'Processes'!B6)</x:f>
        <x:v>6769.035</x:v>
      </x:c>
      <x:c r="M87" s="22" t="n">
        <x:f>IF('Setup'!$B$22&gt;0,"",'Processes'!L6*'Setup'!E19)</x:f>
        <x:v>8500</x:v>
      </x:c>
      <x:c r="N87" s="24" t="n">
        <x:f>IF('Setup'!$B$22&gt;0,"",INT(MIN(L87,M87)))</x:f>
        <x:v>6769</x:v>
      </x:c>
      <x:c r="O87" s="25" t="n">
        <x:f>IF('Setup'!$B$22&gt;0,"",(D87+E87)*I87*'Processes'!E6*'Processes'!J6)</x:f>
        <x:v>4677.12</x:v>
      </x:c>
      <x:c r="P87" s="25" t="n">
        <x:f>IF('Setup'!$B$22&gt;0,"",(D87+E87)*I87*V87*'Processes'!J6*'Processes'!K6)</x:f>
        <x:v>0</x:v>
      </x:c>
      <x:c r="Q87" s="25" t="n">
        <x:f>IF('Setup'!$B$22&gt;0,"",Z87-AA87)</x:f>
        <x:v>668.1599999999999</x:v>
      </x:c>
      <x:c r="R87" s="22" t="n">
        <x:f>IF('Setup'!$B$22&gt;0,"",D87+E87)</x:f>
        <x:v>28</x:v>
      </x:c>
      <x:c r="S87" s="22" t="n">
        <x:f>IF('Setup'!$B$22&gt;0,"",'Processes'!M6)</x:f>
        <x:v>32</x:v>
      </x:c>
      <x:c r="T87" s="22" t="n">
        <x:f>IF('Setup'!$B$22&gt;0,"",MAX(0,R87-S87))</x:f>
        <x:v>0</x:v>
      </x:c>
      <x:c r="U87" s="22" t="n">
        <x:f>IF('Setup'!$B$22&gt;0,"",'Staffing'!F9)</x:f>
        <x:v>0</x:v>
      </x:c>
      <x:c r="V87" s="22" t="n">
        <x:f>IF('Setup'!$B$22&gt;0,"",MIN(U87,'Processes'!I6))</x:f>
        <x:v>0</x:v>
      </x:c>
      <x:c r="W87" s="22" t="n">
        <x:f>IF('Setup'!$B$22&gt;0,"",MAX(0,U87-V87))</x:f>
        <x:v>0</x:v>
      </x:c>
      <x:c r="X87" s="22" t="n">
        <x:f>IF('Setup'!$B$22&gt;0,"",I87*('Processes'!F6+V87*'Processes'!H6)*'Processes'!C6*'Setup'!D19/'Processes'!B6)</x:f>
        <x:v>254.475</x:v>
      </x:c>
      <x:c r="Y87" s="22" t="n">
        <x:f>IF('Setup'!$B$22&gt;0,"",H87*F87)</x:f>
        <x:v>2.6</x:v>
      </x:c>
      <x:c r="Z87" s="25" t="n">
        <x:f>IF('Setup'!$B$22&gt;0,"",O87+P87)</x:f>
        <x:v>4677.12</x:v>
      </x:c>
      <x:c r="AA87" s="25" t="n">
        <x:f>IF('Setup'!$B$22&gt;0,"",'Processes'!D6*I87*'Processes'!E6*'Processes'!J6)</x:f>
        <x:v>4008.96</x:v>
      </x:c>
    </x:row>
    <x:row r="88" ht="23" customHeight="1">
      <x:c r="A88" s="1" t="str">
        <x:v>Disruption</x:v>
      </x:c>
      <x:c r="B88" s="1" t="n">
        <x:v>4</x:v>
      </x:c>
      <x:c r="C88" s="1" t="str">
        <x:f>'Processes'!A7</x:f>
        <x:v>Pack</x:v>
      </x:c>
      <x:c r="D88" s="22" t="n">
        <x:f>IF('Setup'!$B$22&gt;0,"",'Staffing'!D9)</x:f>
        <x:v>18</x:v>
      </x:c>
      <x:c r="E88" s="22" t="n">
        <x:f>IF('Setup'!$B$22&gt;0,"",IF(B88&gt;='Processes'!N7,'Processes'!O7,0))</x:f>
        <x:v>4</x:v>
      </x:c>
      <x:c r="F88" s="23" t="n">
        <x:f>IF('Setup'!$B$22&gt;0,"",IF(E88=0,0,INDEX('Setup'!$B$9:$B$13,MIN(5,B88-'Processes'!N7+1))))</x:f>
        <x:v>0.65</x:v>
      </x:c>
      <x:c r="G88" s="22" t="n">
        <x:f>IF('Setup'!$B$22&gt;0,"",MIN(D88,'Processes'!M7))</x:f>
        <x:v>18</x:v>
      </x:c>
      <x:c r="H88" s="22" t="n">
        <x:f>IF('Setup'!$B$22&gt;0,"",MIN(E88,MAX(0,'Processes'!M7-G88)))</x:f>
        <x:v>4</x:v>
      </x:c>
      <x:c r="I88" s="23" t="n">
        <x:f>IF('Setup'!$B$22&gt;0,"",1-'Processes'!G7-'Setup'!C19)</x:f>
        <x:v>0.87</x:v>
      </x:c>
      <x:c r="J88" s="22" t="n">
        <x:f>IF('Setup'!$B$22&gt;0,"",(G88+H88*F88)*I88*'Processes'!F7)</x:f>
        <x:v>116.49300000000001</x:v>
      </x:c>
      <x:c r="K88" s="22" t="n">
        <x:f>IF('Setup'!$B$22&gt;0,"",(G88+H88*F88)*I88*V88*'Processes'!H7)</x:f>
        <x:v>0</x:v>
      </x:c>
      <x:c r="L88" s="22" t="n">
        <x:f>IF('Setup'!$B$22&gt;0,"",(J88+K88)*'Processes'!C7*'Setup'!D19/'Processes'!B7)</x:f>
        <x:v>6290.622000000001</x:v>
      </x:c>
      <x:c r="M88" s="22" t="n">
        <x:f>IF('Setup'!$B$22&gt;0,"",'Processes'!L7*'Setup'!E19)</x:f>
        <x:v>7650</x:v>
      </x:c>
      <x:c r="N88" s="24" t="n">
        <x:f>IF('Setup'!$B$22&gt;0,"",INT(MIN(L88,M88)))</x:f>
        <x:v>6290</x:v>
      </x:c>
      <x:c r="O88" s="25" t="n">
        <x:f>IF('Setup'!$B$22&gt;0,"",(D88+E88)*I88*'Processes'!E7*'Processes'!J7)</x:f>
        <x:v>3674.88</x:v>
      </x:c>
      <x:c r="P88" s="25" t="n">
        <x:f>IF('Setup'!$B$22&gt;0,"",(D88+E88)*I88*V88*'Processes'!J7*'Processes'!K7)</x:f>
        <x:v>0</x:v>
      </x:c>
      <x:c r="Q88" s="25" t="n">
        <x:f>IF('Setup'!$B$22&gt;0,"",Z88-AA88)</x:f>
        <x:v>668.1599999999999</x:v>
      </x:c>
      <x:c r="R88" s="22" t="n">
        <x:f>IF('Setup'!$B$22&gt;0,"",D88+E88)</x:f>
        <x:v>22</x:v>
      </x:c>
      <x:c r="S88" s="22" t="n">
        <x:f>IF('Setup'!$B$22&gt;0,"",'Processes'!M7)</x:f>
        <x:v>26</x:v>
      </x:c>
      <x:c r="T88" s="22" t="n">
        <x:f>IF('Setup'!$B$22&gt;0,"",MAX(0,R88-S88))</x:f>
        <x:v>0</x:v>
      </x:c>
      <x:c r="U88" s="22" t="n">
        <x:f>IF('Setup'!$B$22&gt;0,"",'Staffing'!G9)</x:f>
        <x:v>0</x:v>
      </x:c>
      <x:c r="V88" s="22" t="n">
        <x:f>IF('Setup'!$B$22&gt;0,"",MIN(U88,'Processes'!I7))</x:f>
        <x:v>0</x:v>
      </x:c>
      <x:c r="W88" s="22" t="n">
        <x:f>IF('Setup'!$B$22&gt;0,"",MAX(0,U88-V88))</x:f>
        <x:v>0</x:v>
      </x:c>
      <x:c r="X88" s="22" t="n">
        <x:f>IF('Setup'!$B$22&gt;0,"",I88*('Processes'!F7+V88*'Processes'!H7)*'Processes'!C7*'Setup'!D19/'Processes'!B7)</x:f>
        <x:v>305.37</x:v>
      </x:c>
      <x:c r="Y88" s="22" t="n">
        <x:f>IF('Setup'!$B$22&gt;0,"",H88*F88)</x:f>
        <x:v>2.6</x:v>
      </x:c>
      <x:c r="Z88" s="25" t="n">
        <x:f>IF('Setup'!$B$22&gt;0,"",O88+P88)</x:f>
        <x:v>3674.88</x:v>
      </x:c>
      <x:c r="AA88" s="25" t="n">
        <x:f>IF('Setup'!$B$22&gt;0,"",'Processes'!D7*I88*'Processes'!E7*'Processes'!J7)</x:f>
        <x:v>3006.7200000000003</x:v>
      </x:c>
    </x:row>
    <x:row r="89" ht="23" customHeight="1">
      <x:c r="A89" s="1" t="str">
        <x:v>Disruption</x:v>
      </x:c>
      <x:c r="B89" s="1" t="n">
        <x:v>4</x:v>
      </x:c>
      <x:c r="C89" s="1" t="str">
        <x:f>'Processes'!A8</x:f>
        <x:v>Ship</x:v>
      </x:c>
      <x:c r="D89" s="22" t="n">
        <x:f>IF('Setup'!$B$22&gt;0,"",'Staffing'!E9)</x:f>
        <x:v>10</x:v>
      </x:c>
      <x:c r="E89" s="22" t="n">
        <x:f>IF('Setup'!$B$22&gt;0,"",IF(B89&gt;='Processes'!N8,'Processes'!O8,0))</x:f>
        <x:v>3</x:v>
      </x:c>
      <x:c r="F89" s="23" t="n">
        <x:f>IF('Setup'!$B$22&gt;0,"",IF(E89=0,0,INDEX('Setup'!$B$9:$B$13,MIN(5,B89-'Processes'!N8+1))))</x:f>
        <x:v>0.65</x:v>
      </x:c>
      <x:c r="G89" s="22" t="n">
        <x:f>IF('Setup'!$B$22&gt;0,"",MIN(D89,'Processes'!M8))</x:f>
        <x:v>10</x:v>
      </x:c>
      <x:c r="H89" s="22" t="n">
        <x:f>IF('Setup'!$B$22&gt;0,"",MIN(E89,MAX(0,'Processes'!M8-G89)))</x:f>
        <x:v>3</x:v>
      </x:c>
      <x:c r="I89" s="23" t="n">
        <x:f>IF('Setup'!$B$22&gt;0,"",1-'Processes'!G8-'Setup'!C19)</x:f>
        <x:v>0.87</x:v>
      </x:c>
      <x:c r="J89" s="22" t="n">
        <x:f>IF('Setup'!$B$22&gt;0,"",(G89+H89*F89)*I89*'Processes'!F8)</x:f>
        <x:v>67.57724999999999</x:v>
      </x:c>
      <x:c r="K89" s="22" t="n">
        <x:f>IF('Setup'!$B$22&gt;0,"",(G89+H89*F89)*I89*V89*'Processes'!H8)</x:f>
        <x:v>0</x:v>
      </x:c>
      <x:c r="L89" s="22" t="n">
        <x:f>IF('Setup'!$B$22&gt;0,"",(J89+K89)*'Processes'!C8*'Setup'!D19/'Processes'!B8)</x:f>
        <x:v>6081.952499999999</x:v>
      </x:c>
      <x:c r="M89" s="22" t="n">
        <x:f>IF('Setup'!$B$22&gt;0,"",'Processes'!L8*'Setup'!E19)</x:f>
        <x:v>6800</x:v>
      </x:c>
      <x:c r="N89" s="24" t="n">
        <x:f>IF('Setup'!$B$22&gt;0,"",INT(MIN(L89,M89)))</x:f>
        <x:v>6081</x:v>
      </x:c>
      <x:c r="O89" s="25" t="n">
        <x:f>IF('Setup'!$B$22&gt;0,"",(D89+E89)*I89*'Processes'!E8*'Processes'!J8)</x:f>
        <x:v>2352.48</x:v>
      </x:c>
      <x:c r="P89" s="25" t="n">
        <x:f>IF('Setup'!$B$22&gt;0,"",(D89+E89)*I89*V89*'Processes'!J8*'Processes'!K8)</x:f>
        <x:v>0</x:v>
      </x:c>
      <x:c r="Q89" s="25" t="n">
        <x:f>IF('Setup'!$B$22&gt;0,"",Z89-AA89)</x:f>
        <x:v>542.8800000000001</x:v>
      </x:c>
      <x:c r="R89" s="22" t="n">
        <x:f>IF('Setup'!$B$22&gt;0,"",D89+E89)</x:f>
        <x:v>13</x:v>
      </x:c>
      <x:c r="S89" s="22" t="n">
        <x:f>IF('Setup'!$B$22&gt;0,"",'Processes'!M8)</x:f>
        <x:v>16</x:v>
      </x:c>
      <x:c r="T89" s="22" t="n">
        <x:f>IF('Setup'!$B$22&gt;0,"",MAX(0,R89-S89))</x:f>
        <x:v>0</x:v>
      </x:c>
      <x:c r="U89" s="22" t="n">
        <x:f>IF('Setup'!$B$22&gt;0,"",'Staffing'!H9)</x:f>
        <x:v>0</x:v>
      </x:c>
      <x:c r="V89" s="22" t="n">
        <x:f>IF('Setup'!$B$22&gt;0,"",MIN(U89,'Processes'!I8))</x:f>
        <x:v>0</x:v>
      </x:c>
      <x:c r="W89" s="22" t="n">
        <x:f>IF('Setup'!$B$22&gt;0,"",MAX(0,U89-V89))</x:f>
        <x:v>0</x:v>
      </x:c>
      <x:c r="X89" s="22" t="n">
        <x:f>IF('Setup'!$B$22&gt;0,"",I89*('Processes'!F8+V89*'Processes'!H8)*'Processes'!C8*'Setup'!D19/'Processes'!B8)</x:f>
        <x:v>508.95</x:v>
      </x:c>
      <x:c r="Y89" s="22" t="n">
        <x:f>IF('Setup'!$B$22&gt;0,"",H89*F89)</x:f>
        <x:v>1.9500000000000002</x:v>
      </x:c>
      <x:c r="Z89" s="25" t="n">
        <x:f>IF('Setup'!$B$22&gt;0,"",O89+P89)</x:f>
        <x:v>2352.48</x:v>
      </x:c>
      <x:c r="AA89" s="25" t="n">
        <x:f>IF('Setup'!$B$22&gt;0,"",'Processes'!D8*I89*'Processes'!E8*'Processes'!J8)</x:f>
        <x:v>1809.6</x:v>
      </x:c>
    </x:row>
    <x:row r="90" ht="23" customHeight="1">
      <x:c r="A90" s="1" t="str">
        <x:v>Disruption</x:v>
      </x:c>
      <x:c r="B90" s="1" t="n">
        <x:v>5</x:v>
      </x:c>
      <x:c r="C90" s="1" t="str">
        <x:f>'Processes'!A6</x:f>
        <x:v>Pick</x:v>
      </x:c>
      <x:c r="D90" s="22" t="n">
        <x:f>IF('Setup'!$B$22&gt;0,"",'Staffing'!C10)</x:f>
        <x:v>24</x:v>
      </x:c>
      <x:c r="E90" s="22" t="n">
        <x:f>IF('Setup'!$B$22&gt;0,"",IF(B90&gt;='Processes'!N6,'Processes'!O6,0))</x:f>
        <x:v>4</x:v>
      </x:c>
      <x:c r="F90" s="23" t="n">
        <x:f>IF('Setup'!$B$22&gt;0,"",IF(E90=0,0,INDEX('Setup'!$B$9:$B$13,MIN(5,B90-'Processes'!N6+1))))</x:f>
        <x:v>0.8</x:v>
      </x:c>
      <x:c r="G90" s="22" t="n">
        <x:f>IF('Setup'!$B$22&gt;0,"",MIN(D90,'Processes'!M6))</x:f>
        <x:v>24</x:v>
      </x:c>
      <x:c r="H90" s="22" t="n">
        <x:f>IF('Setup'!$B$22&gt;0,"",MIN(E90,MAX(0,'Processes'!M6-G90)))</x:f>
        <x:v>4</x:v>
      </x:c>
      <x:c r="I90" s="23" t="n">
        <x:f>IF('Setup'!$B$22&gt;0,"",1-'Processes'!G6-'Setup'!C19)</x:f>
        <x:v>0.87</x:v>
      </x:c>
      <x:c r="J90" s="22" t="n">
        <x:f>IF('Setup'!$B$22&gt;0,"",(G90+H90*F90)*I90*'Processes'!F6)</x:f>
        <x:v>153.81599999999997</x:v>
      </x:c>
      <x:c r="K90" s="22" t="n">
        <x:f>IF('Setup'!$B$22&gt;0,"",(G90+H90*F90)*I90*V90*'Processes'!H6)</x:f>
        <x:v>21.2976</x:v>
      </x:c>
      <x:c r="L90" s="22" t="n">
        <x:f>IF('Setup'!$B$22&gt;0,"",(J90+K90)*'Processes'!C6*'Setup'!D19/'Processes'!B6)</x:f>
        <x:v>7880.111999999999</x:v>
      </x:c>
      <x:c r="M90" s="22" t="n">
        <x:f>IF('Setup'!$B$22&gt;0,"",'Processes'!L6*'Setup'!E19)</x:f>
        <x:v>8500</x:v>
      </x:c>
      <x:c r="N90" s="24" t="n">
        <x:f>IF('Setup'!$B$22&gt;0,"",INT(MIN(L90,M90)))</x:f>
        <x:v>7880</x:v>
      </x:c>
      <x:c r="O90" s="25" t="n">
        <x:f>IF('Setup'!$B$22&gt;0,"",(D90+E90)*I90*'Processes'!E6*'Processes'!J6)</x:f>
        <x:v>4677.12</x:v>
      </x:c>
      <x:c r="P90" s="25" t="n">
        <x:f>IF('Setup'!$B$22&gt;0,"",(D90+E90)*I90*V90*'Processes'!J6*'Processes'!K6)</x:f>
        <x:v>876.96</x:v>
      </x:c>
      <x:c r="Q90" s="25" t="n">
        <x:f>IF('Setup'!$B$22&gt;0,"",Z90-AA90)</x:f>
        <x:v>1545.12</x:v>
      </x:c>
      <x:c r="R90" s="22" t="n">
        <x:f>IF('Setup'!$B$22&gt;0,"",D90+E90)</x:f>
        <x:v>28</x:v>
      </x:c>
      <x:c r="S90" s="22" t="n">
        <x:f>IF('Setup'!$B$22&gt;0,"",'Processes'!M6)</x:f>
        <x:v>32</x:v>
      </x:c>
      <x:c r="T90" s="22" t="n">
        <x:f>IF('Setup'!$B$22&gt;0,"",MAX(0,R90-S90))</x:f>
        <x:v>0</x:v>
      </x:c>
      <x:c r="U90" s="22" t="n">
        <x:f>IF('Setup'!$B$22&gt;0,"",'Staffing'!F10)</x:f>
        <x:v>1</x:v>
      </x:c>
      <x:c r="V90" s="22" t="n">
        <x:f>IF('Setup'!$B$22&gt;0,"",MIN(U90,'Processes'!I6))</x:f>
        <x:v>1</x:v>
      </x:c>
      <x:c r="W90" s="22" t="n">
        <x:f>IF('Setup'!$B$22&gt;0,"",MAX(0,U90-V90))</x:f>
        <x:v>0</x:v>
      </x:c>
      <x:c r="X90" s="22" t="n">
        <x:f>IF('Setup'!$B$22&gt;0,"",I90*('Processes'!F6+V90*'Processes'!H6)*'Processes'!C6*'Setup'!D19/'Processes'!B6)</x:f>
        <x:v>289.71000000000004</x:v>
      </x:c>
      <x:c r="Y90" s="22" t="n">
        <x:f>IF('Setup'!$B$22&gt;0,"",H90*F90)</x:f>
        <x:v>3.2</x:v>
      </x:c>
      <x:c r="Z90" s="25" t="n">
        <x:f>IF('Setup'!$B$22&gt;0,"",O90+P90)</x:f>
        <x:v>5554.08</x:v>
      </x:c>
      <x:c r="AA90" s="25" t="n">
        <x:f>IF('Setup'!$B$22&gt;0,"",'Processes'!D6*I90*'Processes'!E6*'Processes'!J6)</x:f>
        <x:v>4008.96</x:v>
      </x:c>
    </x:row>
    <x:row r="91" ht="23" customHeight="1">
      <x:c r="A91" s="1" t="str">
        <x:v>Disruption</x:v>
      </x:c>
      <x:c r="B91" s="1" t="n">
        <x:v>5</x:v>
      </x:c>
      <x:c r="C91" s="1" t="str">
        <x:f>'Processes'!A7</x:f>
        <x:v>Pack</x:v>
      </x:c>
      <x:c r="D91" s="22" t="n">
        <x:f>IF('Setup'!$B$22&gt;0,"",'Staffing'!D10)</x:f>
        <x:v>18</x:v>
      </x:c>
      <x:c r="E91" s="22" t="n">
        <x:f>IF('Setup'!$B$22&gt;0,"",IF(B91&gt;='Processes'!N7,'Processes'!O7,0))</x:f>
        <x:v>4</x:v>
      </x:c>
      <x:c r="F91" s="23" t="n">
        <x:f>IF('Setup'!$B$22&gt;0,"",IF(E91=0,0,INDEX('Setup'!$B$9:$B$13,MIN(5,B91-'Processes'!N7+1))))</x:f>
        <x:v>0.8</x:v>
      </x:c>
      <x:c r="G91" s="22" t="n">
        <x:f>IF('Setup'!$B$22&gt;0,"",MIN(D91,'Processes'!M7))</x:f>
        <x:v>18</x:v>
      </x:c>
      <x:c r="H91" s="22" t="n">
        <x:f>IF('Setup'!$B$22&gt;0,"",MIN(E91,MAX(0,'Processes'!M7-G91)))</x:f>
        <x:v>4</x:v>
      </x:c>
      <x:c r="I91" s="23" t="n">
        <x:f>IF('Setup'!$B$22&gt;0,"",1-'Processes'!G7-'Setup'!C19)</x:f>
        <x:v>0.87</x:v>
      </x:c>
      <x:c r="J91" s="22" t="n">
        <x:f>IF('Setup'!$B$22&gt;0,"",(G91+H91*F91)*I91*'Processes'!F7)</x:f>
        <x:v>119.886</x:v>
      </x:c>
      <x:c r="K91" s="22" t="n">
        <x:f>IF('Setup'!$B$22&gt;0,"",(G91+H91*F91)*I91*V91*'Processes'!H7)</x:f>
        <x:v>16.5996</x:v>
      </x:c>
      <x:c r="L91" s="22" t="n">
        <x:f>IF('Setup'!$B$22&gt;0,"",(J91+K91)*'Processes'!C7*'Setup'!D19/'Processes'!B7)</x:f>
        <x:v>7370.222400000001</x:v>
      </x:c>
      <x:c r="M91" s="22" t="n">
        <x:f>IF('Setup'!$B$22&gt;0,"",'Processes'!L7*'Setup'!E19)</x:f>
        <x:v>7650</x:v>
      </x:c>
      <x:c r="N91" s="24" t="n">
        <x:f>IF('Setup'!$B$22&gt;0,"",INT(MIN(L91,M91)))</x:f>
        <x:v>7370</x:v>
      </x:c>
      <x:c r="O91" s="25" t="n">
        <x:f>IF('Setup'!$B$22&gt;0,"",(D91+E91)*I91*'Processes'!E7*'Processes'!J7)</x:f>
        <x:v>3674.88</x:v>
      </x:c>
      <x:c r="P91" s="25" t="n">
        <x:f>IF('Setup'!$B$22&gt;0,"",(D91+E91)*I91*V91*'Processes'!J7*'Processes'!K7)</x:f>
        <x:v>689.04</x:v>
      </x:c>
      <x:c r="Q91" s="25" t="n">
        <x:f>IF('Setup'!$B$22&gt;0,"",Z91-AA91)</x:f>
        <x:v>1357.1999999999998</x:v>
      </x:c>
      <x:c r="R91" s="22" t="n">
        <x:f>IF('Setup'!$B$22&gt;0,"",D91+E91)</x:f>
        <x:v>22</x:v>
      </x:c>
      <x:c r="S91" s="22" t="n">
        <x:f>IF('Setup'!$B$22&gt;0,"",'Processes'!M7)</x:f>
        <x:v>26</x:v>
      </x:c>
      <x:c r="T91" s="22" t="n">
        <x:f>IF('Setup'!$B$22&gt;0,"",MAX(0,R91-S91))</x:f>
        <x:v>0</x:v>
      </x:c>
      <x:c r="U91" s="22" t="n">
        <x:f>IF('Setup'!$B$22&gt;0,"",'Staffing'!G10)</x:f>
        <x:v>1</x:v>
      </x:c>
      <x:c r="V91" s="22" t="n">
        <x:f>IF('Setup'!$B$22&gt;0,"",MIN(U91,'Processes'!I7))</x:f>
        <x:v>1</x:v>
      </x:c>
      <x:c r="W91" s="22" t="n">
        <x:f>IF('Setup'!$B$22&gt;0,"",MAX(0,U91-V91))</x:f>
        <x:v>0</x:v>
      </x:c>
      <x:c r="X91" s="22" t="n">
        <x:f>IF('Setup'!$B$22&gt;0,"",I91*('Processes'!F7+V91*'Processes'!H7)*'Processes'!C7*'Setup'!D19/'Processes'!B7)</x:f>
        <x:v>347.65200000000004</x:v>
      </x:c>
      <x:c r="Y91" s="22" t="n">
        <x:f>IF('Setup'!$B$22&gt;0,"",H91*F91)</x:f>
        <x:v>3.2</x:v>
      </x:c>
      <x:c r="Z91" s="25" t="n">
        <x:f>IF('Setup'!$B$22&gt;0,"",O91+P91)</x:f>
        <x:v>4363.92</x:v>
      </x:c>
      <x:c r="AA91" s="25" t="n">
        <x:f>IF('Setup'!$B$22&gt;0,"",'Processes'!D7*I91*'Processes'!E7*'Processes'!J7)</x:f>
        <x:v>3006.7200000000003</x:v>
      </x:c>
    </x:row>
    <x:row r="92" ht="23" customHeight="1">
      <x:c r="A92" s="1" t="str">
        <x:v>Disruption</x:v>
      </x:c>
      <x:c r="B92" s="1" t="n">
        <x:v>5</x:v>
      </x:c>
      <x:c r="C92" s="1" t="str">
        <x:f>'Processes'!A8</x:f>
        <x:v>Ship</x:v>
      </x:c>
      <x:c r="D92" s="22" t="n">
        <x:f>IF('Setup'!$B$22&gt;0,"",'Staffing'!E10)</x:f>
        <x:v>10</x:v>
      </x:c>
      <x:c r="E92" s="22" t="n">
        <x:f>IF('Setup'!$B$22&gt;0,"",IF(B92&gt;='Processes'!N8,'Processes'!O8,0))</x:f>
        <x:v>3</x:v>
      </x:c>
      <x:c r="F92" s="23" t="n">
        <x:f>IF('Setup'!$B$22&gt;0,"",IF(E92=0,0,INDEX('Setup'!$B$9:$B$13,MIN(5,B92-'Processes'!N8+1))))</x:f>
        <x:v>0.8</x:v>
      </x:c>
      <x:c r="G92" s="22" t="n">
        <x:f>IF('Setup'!$B$22&gt;0,"",MIN(D92,'Processes'!M8))</x:f>
        <x:v>10</x:v>
      </x:c>
      <x:c r="H92" s="22" t="n">
        <x:f>IF('Setup'!$B$22&gt;0,"",MIN(E92,MAX(0,'Processes'!M8-G92)))</x:f>
        <x:v>3</x:v>
      </x:c>
      <x:c r="I92" s="23" t="n">
        <x:f>IF('Setup'!$B$22&gt;0,"",1-'Processes'!G8-'Setup'!C19)</x:f>
        <x:v>0.87</x:v>
      </x:c>
      <x:c r="J92" s="22" t="n">
        <x:f>IF('Setup'!$B$22&gt;0,"",(G92+H92*F92)*I92*'Processes'!F8)</x:f>
        <x:v>70.122</x:v>
      </x:c>
      <x:c r="K92" s="22" t="n">
        <x:f>IF('Setup'!$B$22&gt;0,"",(G92+H92*F92)*I92*V92*'Processes'!H8)</x:f>
        <x:v>9.709200000000001</x:v>
      </x:c>
      <x:c r="L92" s="22" t="n">
        <x:f>IF('Setup'!$B$22&gt;0,"",(J92+K92)*'Processes'!C8*'Setup'!D19/'Processes'!B8)</x:f>
        <x:v>7184.808</x:v>
      </x:c>
      <x:c r="M92" s="22" t="n">
        <x:f>IF('Setup'!$B$22&gt;0,"",'Processes'!L8*'Setup'!E19)</x:f>
        <x:v>6800</x:v>
      </x:c>
      <x:c r="N92" s="24" t="n">
        <x:f>IF('Setup'!$B$22&gt;0,"",INT(MIN(L92,M92)))</x:f>
        <x:v>6800</x:v>
      </x:c>
      <x:c r="O92" s="25" t="n">
        <x:f>IF('Setup'!$B$22&gt;0,"",(D92+E92)*I92*'Processes'!E8*'Processes'!J8)</x:f>
        <x:v>2352.48</x:v>
      </x:c>
      <x:c r="P92" s="25" t="n">
        <x:f>IF('Setup'!$B$22&gt;0,"",(D92+E92)*I92*V92*'Processes'!J8*'Processes'!K8)</x:f>
        <x:v>441.09000000000003</x:v>
      </x:c>
      <x:c r="Q92" s="25" t="n">
        <x:f>IF('Setup'!$B$22&gt;0,"",Z92-AA92)</x:f>
        <x:v>983.9700000000003</x:v>
      </x:c>
      <x:c r="R92" s="22" t="n">
        <x:f>IF('Setup'!$B$22&gt;0,"",D92+E92)</x:f>
        <x:v>13</x:v>
      </x:c>
      <x:c r="S92" s="22" t="n">
        <x:f>IF('Setup'!$B$22&gt;0,"",'Processes'!M8)</x:f>
        <x:v>16</x:v>
      </x:c>
      <x:c r="T92" s="22" t="n">
        <x:f>IF('Setup'!$B$22&gt;0,"",MAX(0,R92-S92))</x:f>
        <x:v>0</x:v>
      </x:c>
      <x:c r="U92" s="22" t="n">
        <x:f>IF('Setup'!$B$22&gt;0,"",'Staffing'!H10)</x:f>
        <x:v>1</x:v>
      </x:c>
      <x:c r="V92" s="22" t="n">
        <x:f>IF('Setup'!$B$22&gt;0,"",MIN(U92,'Processes'!I8))</x:f>
        <x:v>1</x:v>
      </x:c>
      <x:c r="W92" s="22" t="n">
        <x:f>IF('Setup'!$B$22&gt;0,"",MAX(0,U92-V92))</x:f>
        <x:v>0</x:v>
      </x:c>
      <x:c r="X92" s="22" t="n">
        <x:f>IF('Setup'!$B$22&gt;0,"",I92*('Processes'!F8+V92*'Processes'!H8)*'Processes'!C8*'Setup'!D19/'Processes'!B8)</x:f>
        <x:v>579.4200000000001</x:v>
      </x:c>
      <x:c r="Y92" s="22" t="n">
        <x:f>IF('Setup'!$B$22&gt;0,"",H92*F92)</x:f>
        <x:v>2.4000000000000004</x:v>
      </x:c>
      <x:c r="Z92" s="25" t="n">
        <x:f>IF('Setup'!$B$22&gt;0,"",O92+P92)</x:f>
        <x:v>2793.57</x:v>
      </x:c>
      <x:c r="AA92" s="25" t="n">
        <x:f>IF('Setup'!$B$22&gt;0,"",'Processes'!D8*I92*'Processes'!E8*'Processes'!J8)</x:f>
        <x:v>1809.6</x:v>
      </x:c>
    </x:row>
    <x:row r="93" ht="23" customHeight="1">
      <x:c r="A93" s="1" t="str">
        <x:v>Disruption</x:v>
      </x:c>
      <x:c r="B93" s="1" t="n">
        <x:v>6</x:v>
      </x:c>
      <x:c r="C93" s="1" t="str">
        <x:f>'Processes'!A6</x:f>
        <x:v>Pick</x:v>
      </x:c>
      <x:c r="D93" s="22" t="n">
        <x:f>IF('Setup'!$B$22&gt;0,"",'Staffing'!C11)</x:f>
        <x:v>24</x:v>
      </x:c>
      <x:c r="E93" s="22" t="n">
        <x:f>IF('Setup'!$B$22&gt;0,"",IF(B93&gt;='Processes'!N6,'Processes'!O6,0))</x:f>
        <x:v>4</x:v>
      </x:c>
      <x:c r="F93" s="23" t="n">
        <x:f>IF('Setup'!$B$22&gt;0,"",IF(E93=0,0,INDEX('Setup'!$B$9:$B$13,MIN(5,B93-'Processes'!N6+1))))</x:f>
        <x:v>0.9</x:v>
      </x:c>
      <x:c r="G93" s="22" t="n">
        <x:f>IF('Setup'!$B$22&gt;0,"",MIN(D93,'Processes'!M6))</x:f>
        <x:v>24</x:v>
      </x:c>
      <x:c r="H93" s="22" t="n">
        <x:f>IF('Setup'!$B$22&gt;0,"",MIN(E93,MAX(0,'Processes'!M6-G93)))</x:f>
        <x:v>4</x:v>
      </x:c>
      <x:c r="I93" s="23" t="n">
        <x:f>IF('Setup'!$B$22&gt;0,"",1-'Processes'!G6-'Setup'!C19)</x:f>
        <x:v>0.87</x:v>
      </x:c>
      <x:c r="J93" s="22" t="n">
        <x:f>IF('Setup'!$B$22&gt;0,"",(G93+H93*F93)*I93*'Processes'!F6)</x:f>
        <x:v>156.078</x:v>
      </x:c>
      <x:c r="K93" s="22" t="n">
        <x:f>IF('Setup'!$B$22&gt;0,"",(G93+H93*F93)*I93*V93*'Processes'!H6)</x:f>
        <x:v>21.6108</x:v>
      </x:c>
      <x:c r="L93" s="22" t="n">
        <x:f>IF('Setup'!$B$22&gt;0,"",(J93+K93)*'Processes'!C6*'Setup'!D19/'Processes'!B6)</x:f>
        <x:v>7995.996000000001</x:v>
      </x:c>
      <x:c r="M93" s="22" t="n">
        <x:f>IF('Setup'!$B$22&gt;0,"",'Processes'!L6*'Setup'!E19)</x:f>
        <x:v>8500</x:v>
      </x:c>
      <x:c r="N93" s="24" t="n">
        <x:f>IF('Setup'!$B$22&gt;0,"",INT(MIN(L93,M93)))</x:f>
        <x:v>7995</x:v>
      </x:c>
      <x:c r="O93" s="25" t="n">
        <x:f>IF('Setup'!$B$22&gt;0,"",(D93+E93)*I93*'Processes'!E6*'Processes'!J6)</x:f>
        <x:v>4677.12</x:v>
      </x:c>
      <x:c r="P93" s="25" t="n">
        <x:f>IF('Setup'!$B$22&gt;0,"",(D93+E93)*I93*V93*'Processes'!J6*'Processes'!K6)</x:f>
        <x:v>876.96</x:v>
      </x:c>
      <x:c r="Q93" s="25" t="n">
        <x:f>IF('Setup'!$B$22&gt;0,"",Z93-AA93)</x:f>
        <x:v>1545.12</x:v>
      </x:c>
      <x:c r="R93" s="22" t="n">
        <x:f>IF('Setup'!$B$22&gt;0,"",D93+E93)</x:f>
        <x:v>28</x:v>
      </x:c>
      <x:c r="S93" s="22" t="n">
        <x:f>IF('Setup'!$B$22&gt;0,"",'Processes'!M6)</x:f>
        <x:v>32</x:v>
      </x:c>
      <x:c r="T93" s="22" t="n">
        <x:f>IF('Setup'!$B$22&gt;0,"",MAX(0,R93-S93))</x:f>
        <x:v>0</x:v>
      </x:c>
      <x:c r="U93" s="22" t="n">
        <x:f>IF('Setup'!$B$22&gt;0,"",'Staffing'!F11)</x:f>
        <x:v>1</x:v>
      </x:c>
      <x:c r="V93" s="22" t="n">
        <x:f>IF('Setup'!$B$22&gt;0,"",MIN(U93,'Processes'!I6))</x:f>
        <x:v>1</x:v>
      </x:c>
      <x:c r="W93" s="22" t="n">
        <x:f>IF('Setup'!$B$22&gt;0,"",MAX(0,U93-V93))</x:f>
        <x:v>0</x:v>
      </x:c>
      <x:c r="X93" s="22" t="n">
        <x:f>IF('Setup'!$B$22&gt;0,"",I93*('Processes'!F6+V93*'Processes'!H6)*'Processes'!C6*'Setup'!D19/'Processes'!B6)</x:f>
        <x:v>289.71000000000004</x:v>
      </x:c>
      <x:c r="Y93" s="22" t="n">
        <x:f>IF('Setup'!$B$22&gt;0,"",H93*F93)</x:f>
        <x:v>3.6</x:v>
      </x:c>
      <x:c r="Z93" s="25" t="n">
        <x:f>IF('Setup'!$B$22&gt;0,"",O93+P93)</x:f>
        <x:v>5554.08</x:v>
      </x:c>
      <x:c r="AA93" s="25" t="n">
        <x:f>IF('Setup'!$B$22&gt;0,"",'Processes'!D6*I93*'Processes'!E6*'Processes'!J6)</x:f>
        <x:v>4008.96</x:v>
      </x:c>
    </x:row>
    <x:row r="94" ht="23" customHeight="1">
      <x:c r="A94" s="1" t="str">
        <x:v>Disruption</x:v>
      </x:c>
      <x:c r="B94" s="1" t="n">
        <x:v>6</x:v>
      </x:c>
      <x:c r="C94" s="1" t="str">
        <x:f>'Processes'!A7</x:f>
        <x:v>Pack</x:v>
      </x:c>
      <x:c r="D94" s="22" t="n">
        <x:f>IF('Setup'!$B$22&gt;0,"",'Staffing'!D11)</x:f>
        <x:v>18</x:v>
      </x:c>
      <x:c r="E94" s="22" t="n">
        <x:f>IF('Setup'!$B$22&gt;0,"",IF(B94&gt;='Processes'!N7,'Processes'!O7,0))</x:f>
        <x:v>4</x:v>
      </x:c>
      <x:c r="F94" s="23" t="n">
        <x:f>IF('Setup'!$B$22&gt;0,"",IF(E94=0,0,INDEX('Setup'!$B$9:$B$13,MIN(5,B94-'Processes'!N7+1))))</x:f>
        <x:v>0.9</x:v>
      </x:c>
      <x:c r="G94" s="22" t="n">
        <x:f>IF('Setup'!$B$22&gt;0,"",MIN(D94,'Processes'!M7))</x:f>
        <x:v>18</x:v>
      </x:c>
      <x:c r="H94" s="22" t="n">
        <x:f>IF('Setup'!$B$22&gt;0,"",MIN(E94,MAX(0,'Processes'!M7-G94)))</x:f>
        <x:v>4</x:v>
      </x:c>
      <x:c r="I94" s="23" t="n">
        <x:f>IF('Setup'!$B$22&gt;0,"",1-'Processes'!G7-'Setup'!C19)</x:f>
        <x:v>0.87</x:v>
      </x:c>
      <x:c r="J94" s="22" t="n">
        <x:f>IF('Setup'!$B$22&gt;0,"",(G94+H94*F94)*I94*'Processes'!F7)</x:f>
        <x:v>122.14800000000001</x:v>
      </x:c>
      <x:c r="K94" s="22" t="n">
        <x:f>IF('Setup'!$B$22&gt;0,"",(G94+H94*F94)*I94*V94*'Processes'!H7)</x:f>
        <x:v>16.9128</x:v>
      </x:c>
      <x:c r="L94" s="22" t="n">
        <x:f>IF('Setup'!$B$22&gt;0,"",(J94+K94)*'Processes'!C7*'Setup'!D19/'Processes'!B7)</x:f>
        <x:v>7509.2832</x:v>
      </x:c>
      <x:c r="M94" s="22" t="n">
        <x:f>IF('Setup'!$B$22&gt;0,"",'Processes'!L7*'Setup'!E19)</x:f>
        <x:v>7650</x:v>
      </x:c>
      <x:c r="N94" s="24" t="n">
        <x:f>IF('Setup'!$B$22&gt;0,"",INT(MIN(L94,M94)))</x:f>
        <x:v>7509</x:v>
      </x:c>
      <x:c r="O94" s="25" t="n">
        <x:f>IF('Setup'!$B$22&gt;0,"",(D94+E94)*I94*'Processes'!E7*'Processes'!J7)</x:f>
        <x:v>3674.88</x:v>
      </x:c>
      <x:c r="P94" s="25" t="n">
        <x:f>IF('Setup'!$B$22&gt;0,"",(D94+E94)*I94*V94*'Processes'!J7*'Processes'!K7)</x:f>
        <x:v>689.04</x:v>
      </x:c>
      <x:c r="Q94" s="25" t="n">
        <x:f>IF('Setup'!$B$22&gt;0,"",Z94-AA94)</x:f>
        <x:v>1357.1999999999998</x:v>
      </x:c>
      <x:c r="R94" s="22" t="n">
        <x:f>IF('Setup'!$B$22&gt;0,"",D94+E94)</x:f>
        <x:v>22</x:v>
      </x:c>
      <x:c r="S94" s="22" t="n">
        <x:f>IF('Setup'!$B$22&gt;0,"",'Processes'!M7)</x:f>
        <x:v>26</x:v>
      </x:c>
      <x:c r="T94" s="22" t="n">
        <x:f>IF('Setup'!$B$22&gt;0,"",MAX(0,R94-S94))</x:f>
        <x:v>0</x:v>
      </x:c>
      <x:c r="U94" s="22" t="n">
        <x:f>IF('Setup'!$B$22&gt;0,"",'Staffing'!G11)</x:f>
        <x:v>1</x:v>
      </x:c>
      <x:c r="V94" s="22" t="n">
        <x:f>IF('Setup'!$B$22&gt;0,"",MIN(U94,'Processes'!I7))</x:f>
        <x:v>1</x:v>
      </x:c>
      <x:c r="W94" s="22" t="n">
        <x:f>IF('Setup'!$B$22&gt;0,"",MAX(0,U94-V94))</x:f>
        <x:v>0</x:v>
      </x:c>
      <x:c r="X94" s="22" t="n">
        <x:f>IF('Setup'!$B$22&gt;0,"",I94*('Processes'!F7+V94*'Processes'!H7)*'Processes'!C7*'Setup'!D19/'Processes'!B7)</x:f>
        <x:v>347.65200000000004</x:v>
      </x:c>
      <x:c r="Y94" s="22" t="n">
        <x:f>IF('Setup'!$B$22&gt;0,"",H94*F94)</x:f>
        <x:v>3.6</x:v>
      </x:c>
      <x:c r="Z94" s="25" t="n">
        <x:f>IF('Setup'!$B$22&gt;0,"",O94+P94)</x:f>
        <x:v>4363.92</x:v>
      </x:c>
      <x:c r="AA94" s="25" t="n">
        <x:f>IF('Setup'!$B$22&gt;0,"",'Processes'!D7*I94*'Processes'!E7*'Processes'!J7)</x:f>
        <x:v>3006.7200000000003</x:v>
      </x:c>
    </x:row>
    <x:row r="95" ht="23" customHeight="1">
      <x:c r="A95" s="1" t="str">
        <x:v>Disruption</x:v>
      </x:c>
      <x:c r="B95" s="1" t="n">
        <x:v>6</x:v>
      </x:c>
      <x:c r="C95" s="1" t="str">
        <x:f>'Processes'!A8</x:f>
        <x:v>Ship</x:v>
      </x:c>
      <x:c r="D95" s="22" t="n">
        <x:f>IF('Setup'!$B$22&gt;0,"",'Staffing'!E11)</x:f>
        <x:v>10</x:v>
      </x:c>
      <x:c r="E95" s="22" t="n">
        <x:f>IF('Setup'!$B$22&gt;0,"",IF(B95&gt;='Processes'!N8,'Processes'!O8,0))</x:f>
        <x:v>3</x:v>
      </x:c>
      <x:c r="F95" s="23" t="n">
        <x:f>IF('Setup'!$B$22&gt;0,"",IF(E95=0,0,INDEX('Setup'!$B$9:$B$13,MIN(5,B95-'Processes'!N8+1))))</x:f>
        <x:v>0.9</x:v>
      </x:c>
      <x:c r="G95" s="22" t="n">
        <x:f>IF('Setup'!$B$22&gt;0,"",MIN(D95,'Processes'!M8))</x:f>
        <x:v>10</x:v>
      </x:c>
      <x:c r="H95" s="22" t="n">
        <x:f>IF('Setup'!$B$22&gt;0,"",MIN(E95,MAX(0,'Processes'!M8-G95)))</x:f>
        <x:v>3</x:v>
      </x:c>
      <x:c r="I95" s="23" t="n">
        <x:f>IF('Setup'!$B$22&gt;0,"",1-'Processes'!G8-'Setup'!C19)</x:f>
        <x:v>0.87</x:v>
      </x:c>
      <x:c r="J95" s="22" t="n">
        <x:f>IF('Setup'!$B$22&gt;0,"",(G95+H95*F95)*I95*'Processes'!F8)</x:f>
        <x:v>71.8185</x:v>
      </x:c>
      <x:c r="K95" s="22" t="n">
        <x:f>IF('Setup'!$B$22&gt;0,"",(G95+H95*F95)*I95*V95*'Processes'!H8)</x:f>
        <x:v>9.9441</x:v>
      </x:c>
      <x:c r="L95" s="22" t="n">
        <x:f>IF('Setup'!$B$22&gt;0,"",(J95+K95)*'Processes'!C8*'Setup'!D19/'Processes'!B8)</x:f>
        <x:v>7358.634</x:v>
      </x:c>
      <x:c r="M95" s="22" t="n">
        <x:f>IF('Setup'!$B$22&gt;0,"",'Processes'!L8*'Setup'!E19)</x:f>
        <x:v>6800</x:v>
      </x:c>
      <x:c r="N95" s="24" t="n">
        <x:f>IF('Setup'!$B$22&gt;0,"",INT(MIN(L95,M95)))</x:f>
        <x:v>6800</x:v>
      </x:c>
      <x:c r="O95" s="25" t="n">
        <x:f>IF('Setup'!$B$22&gt;0,"",(D95+E95)*I95*'Processes'!E8*'Processes'!J8)</x:f>
        <x:v>2352.48</x:v>
      </x:c>
      <x:c r="P95" s="25" t="n">
        <x:f>IF('Setup'!$B$22&gt;0,"",(D95+E95)*I95*V95*'Processes'!J8*'Processes'!K8)</x:f>
        <x:v>441.09000000000003</x:v>
      </x:c>
      <x:c r="Q95" s="25" t="n">
        <x:f>IF('Setup'!$B$22&gt;0,"",Z95-AA95)</x:f>
        <x:v>983.9700000000003</x:v>
      </x:c>
      <x:c r="R95" s="22" t="n">
        <x:f>IF('Setup'!$B$22&gt;0,"",D95+E95)</x:f>
        <x:v>13</x:v>
      </x:c>
      <x:c r="S95" s="22" t="n">
        <x:f>IF('Setup'!$B$22&gt;0,"",'Processes'!M8)</x:f>
        <x:v>16</x:v>
      </x:c>
      <x:c r="T95" s="22" t="n">
        <x:f>IF('Setup'!$B$22&gt;0,"",MAX(0,R95-S95))</x:f>
        <x:v>0</x:v>
      </x:c>
      <x:c r="U95" s="22" t="n">
        <x:f>IF('Setup'!$B$22&gt;0,"",'Staffing'!H11)</x:f>
        <x:v>1</x:v>
      </x:c>
      <x:c r="V95" s="22" t="n">
        <x:f>IF('Setup'!$B$22&gt;0,"",MIN(U95,'Processes'!I8))</x:f>
        <x:v>1</x:v>
      </x:c>
      <x:c r="W95" s="22" t="n">
        <x:f>IF('Setup'!$B$22&gt;0,"",MAX(0,U95-V95))</x:f>
        <x:v>0</x:v>
      </x:c>
      <x:c r="X95" s="22" t="n">
        <x:f>IF('Setup'!$B$22&gt;0,"",I95*('Processes'!F8+V95*'Processes'!H8)*'Processes'!C8*'Setup'!D19/'Processes'!B8)</x:f>
        <x:v>579.4200000000001</x:v>
      </x:c>
      <x:c r="Y95" s="22" t="n">
        <x:f>IF('Setup'!$B$22&gt;0,"",H95*F95)</x:f>
        <x:v>2.7</x:v>
      </x:c>
      <x:c r="Z95" s="25" t="n">
        <x:f>IF('Setup'!$B$22&gt;0,"",O95+P95)</x:f>
        <x:v>2793.57</x:v>
      </x:c>
      <x:c r="AA95" s="25" t="n">
        <x:f>IF('Setup'!$B$22&gt;0,"",'Processes'!D8*I95*'Processes'!E8*'Processes'!J8)</x:f>
        <x:v>1809.6</x:v>
      </x:c>
    </x:row>
    <x:row r="96" ht="23" customHeight="1">
      <x:c r="A96" s="1" t="str">
        <x:v>Disruption</x:v>
      </x:c>
      <x:c r="B96" s="1" t="n">
        <x:v>7</x:v>
      </x:c>
      <x:c r="C96" s="1" t="str">
        <x:f>'Processes'!A6</x:f>
        <x:v>Pick</x:v>
      </x:c>
      <x:c r="D96" s="22" t="n">
        <x:f>IF('Setup'!$B$22&gt;0,"",'Staffing'!C12)</x:f>
        <x:v>24</x:v>
      </x:c>
      <x:c r="E96" s="22" t="n">
        <x:f>IF('Setup'!$B$22&gt;0,"",IF(B96&gt;='Processes'!N6,'Processes'!O6,0))</x:f>
        <x:v>4</x:v>
      </x:c>
      <x:c r="F96" s="23" t="n">
        <x:f>IF('Setup'!$B$22&gt;0,"",IF(E96=0,0,INDEX('Setup'!$B$9:$B$13,MIN(5,B96-'Processes'!N6+1))))</x:f>
        <x:v>1</x:v>
      </x:c>
      <x:c r="G96" s="22" t="n">
        <x:f>IF('Setup'!$B$22&gt;0,"",MIN(D96,'Processes'!M6))</x:f>
        <x:v>24</x:v>
      </x:c>
      <x:c r="H96" s="22" t="n">
        <x:f>IF('Setup'!$B$22&gt;0,"",MIN(E96,MAX(0,'Processes'!M6-G96)))</x:f>
        <x:v>4</x:v>
      </x:c>
      <x:c r="I96" s="23" t="n">
        <x:f>IF('Setup'!$B$22&gt;0,"",1-'Processes'!G6-'Setup'!C19)</x:f>
        <x:v>0.87</x:v>
      </x:c>
      <x:c r="J96" s="22" t="n">
        <x:f>IF('Setup'!$B$22&gt;0,"",(G96+H96*F96)*I96*'Processes'!F6)</x:f>
        <x:v>158.34</x:v>
      </x:c>
      <x:c r="K96" s="22" t="n">
        <x:f>IF('Setup'!$B$22&gt;0,"",(G96+H96*F96)*I96*V96*'Processes'!H6)</x:f>
        <x:v>21.924</x:v>
      </x:c>
      <x:c r="L96" s="22" t="n">
        <x:f>IF('Setup'!$B$22&gt;0,"",(J96+K96)*'Processes'!C6*'Setup'!D19/'Processes'!B6)</x:f>
        <x:v>8111.880000000001</x:v>
      </x:c>
      <x:c r="M96" s="22" t="n">
        <x:f>IF('Setup'!$B$22&gt;0,"",'Processes'!L6*'Setup'!E19)</x:f>
        <x:v>8500</x:v>
      </x:c>
      <x:c r="N96" s="24" t="n">
        <x:f>IF('Setup'!$B$22&gt;0,"",INT(MIN(L96,M96)))</x:f>
        <x:v>8111</x:v>
      </x:c>
      <x:c r="O96" s="25" t="n">
        <x:f>IF('Setup'!$B$22&gt;0,"",(D96+E96)*I96*'Processes'!E6*'Processes'!J6)</x:f>
        <x:v>4677.12</x:v>
      </x:c>
      <x:c r="P96" s="25" t="n">
        <x:f>IF('Setup'!$B$22&gt;0,"",(D96+E96)*I96*V96*'Processes'!J6*'Processes'!K6)</x:f>
        <x:v>876.96</x:v>
      </x:c>
      <x:c r="Q96" s="25" t="n">
        <x:f>IF('Setup'!$B$22&gt;0,"",Z96-AA96)</x:f>
        <x:v>1545.12</x:v>
      </x:c>
      <x:c r="R96" s="22" t="n">
        <x:f>IF('Setup'!$B$22&gt;0,"",D96+E96)</x:f>
        <x:v>28</x:v>
      </x:c>
      <x:c r="S96" s="22" t="n">
        <x:f>IF('Setup'!$B$22&gt;0,"",'Processes'!M6)</x:f>
        <x:v>32</x:v>
      </x:c>
      <x:c r="T96" s="22" t="n">
        <x:f>IF('Setup'!$B$22&gt;0,"",MAX(0,R96-S96))</x:f>
        <x:v>0</x:v>
      </x:c>
      <x:c r="U96" s="22" t="n">
        <x:f>IF('Setup'!$B$22&gt;0,"",'Staffing'!F12)</x:f>
        <x:v>1</x:v>
      </x:c>
      <x:c r="V96" s="22" t="n">
        <x:f>IF('Setup'!$B$22&gt;0,"",MIN(U96,'Processes'!I6))</x:f>
        <x:v>1</x:v>
      </x:c>
      <x:c r="W96" s="22" t="n">
        <x:f>IF('Setup'!$B$22&gt;0,"",MAX(0,U96-V96))</x:f>
        <x:v>0</x:v>
      </x:c>
      <x:c r="X96" s="22" t="n">
        <x:f>IF('Setup'!$B$22&gt;0,"",I96*('Processes'!F6+V96*'Processes'!H6)*'Processes'!C6*'Setup'!D19/'Processes'!B6)</x:f>
        <x:v>289.71000000000004</x:v>
      </x:c>
      <x:c r="Y96" s="22" t="n">
        <x:f>IF('Setup'!$B$22&gt;0,"",H96*F96)</x:f>
        <x:v>4</x:v>
      </x:c>
      <x:c r="Z96" s="25" t="n">
        <x:f>IF('Setup'!$B$22&gt;0,"",O96+P96)</x:f>
        <x:v>5554.08</x:v>
      </x:c>
      <x:c r="AA96" s="25" t="n">
        <x:f>IF('Setup'!$B$22&gt;0,"",'Processes'!D6*I96*'Processes'!E6*'Processes'!J6)</x:f>
        <x:v>4008.96</x:v>
      </x:c>
    </x:row>
    <x:row r="97" ht="23" customHeight="1">
      <x:c r="A97" s="1" t="str">
        <x:v>Disruption</x:v>
      </x:c>
      <x:c r="B97" s="1" t="n">
        <x:v>7</x:v>
      </x:c>
      <x:c r="C97" s="1" t="str">
        <x:f>'Processes'!A7</x:f>
        <x:v>Pack</x:v>
      </x:c>
      <x:c r="D97" s="22" t="n">
        <x:f>IF('Setup'!$B$22&gt;0,"",'Staffing'!D12)</x:f>
        <x:v>18</x:v>
      </x:c>
      <x:c r="E97" s="22" t="n">
        <x:f>IF('Setup'!$B$22&gt;0,"",IF(B97&gt;='Processes'!N7,'Processes'!O7,0))</x:f>
        <x:v>4</x:v>
      </x:c>
      <x:c r="F97" s="23" t="n">
        <x:f>IF('Setup'!$B$22&gt;0,"",IF(E97=0,0,INDEX('Setup'!$B$9:$B$13,MIN(5,B97-'Processes'!N7+1))))</x:f>
        <x:v>1</x:v>
      </x:c>
      <x:c r="G97" s="22" t="n">
        <x:f>IF('Setup'!$B$22&gt;0,"",MIN(D97,'Processes'!M7))</x:f>
        <x:v>18</x:v>
      </x:c>
      <x:c r="H97" s="22" t="n">
        <x:f>IF('Setup'!$B$22&gt;0,"",MIN(E97,MAX(0,'Processes'!M7-G97)))</x:f>
        <x:v>4</x:v>
      </x:c>
      <x:c r="I97" s="23" t="n">
        <x:f>IF('Setup'!$B$22&gt;0,"",1-'Processes'!G7-'Setup'!C19)</x:f>
        <x:v>0.87</x:v>
      </x:c>
      <x:c r="J97" s="22" t="n">
        <x:f>IF('Setup'!$B$22&gt;0,"",(G97+H97*F97)*I97*'Processes'!F7)</x:f>
        <x:v>124.41</x:v>
      </x:c>
      <x:c r="K97" s="22" t="n">
        <x:f>IF('Setup'!$B$22&gt;0,"",(G97+H97*F97)*I97*V97*'Processes'!H7)</x:f>
        <x:v>17.226000000000003</x:v>
      </x:c>
      <x:c r="L97" s="22" t="n">
        <x:f>IF('Setup'!$B$22&gt;0,"",(J97+K97)*'Processes'!C7*'Setup'!D19/'Processes'!B7)</x:f>
        <x:v>7648.344</x:v>
      </x:c>
      <x:c r="M97" s="22" t="n">
        <x:f>IF('Setup'!$B$22&gt;0,"",'Processes'!L7*'Setup'!E19)</x:f>
        <x:v>7650</x:v>
      </x:c>
      <x:c r="N97" s="24" t="n">
        <x:f>IF('Setup'!$B$22&gt;0,"",INT(MIN(L97,M97)))</x:f>
        <x:v>7648</x:v>
      </x:c>
      <x:c r="O97" s="25" t="n">
        <x:f>IF('Setup'!$B$22&gt;0,"",(D97+E97)*I97*'Processes'!E7*'Processes'!J7)</x:f>
        <x:v>3674.88</x:v>
      </x:c>
      <x:c r="P97" s="25" t="n">
        <x:f>IF('Setup'!$B$22&gt;0,"",(D97+E97)*I97*V97*'Processes'!J7*'Processes'!K7)</x:f>
        <x:v>689.04</x:v>
      </x:c>
      <x:c r="Q97" s="25" t="n">
        <x:f>IF('Setup'!$B$22&gt;0,"",Z97-AA97)</x:f>
        <x:v>1357.1999999999998</x:v>
      </x:c>
      <x:c r="R97" s="22" t="n">
        <x:f>IF('Setup'!$B$22&gt;0,"",D97+E97)</x:f>
        <x:v>22</x:v>
      </x:c>
      <x:c r="S97" s="22" t="n">
        <x:f>IF('Setup'!$B$22&gt;0,"",'Processes'!M7)</x:f>
        <x:v>26</x:v>
      </x:c>
      <x:c r="T97" s="22" t="n">
        <x:f>IF('Setup'!$B$22&gt;0,"",MAX(0,R97-S97))</x:f>
        <x:v>0</x:v>
      </x:c>
      <x:c r="U97" s="22" t="n">
        <x:f>IF('Setup'!$B$22&gt;0,"",'Staffing'!G12)</x:f>
        <x:v>1</x:v>
      </x:c>
      <x:c r="V97" s="22" t="n">
        <x:f>IF('Setup'!$B$22&gt;0,"",MIN(U97,'Processes'!I7))</x:f>
        <x:v>1</x:v>
      </x:c>
      <x:c r="W97" s="22" t="n">
        <x:f>IF('Setup'!$B$22&gt;0,"",MAX(0,U97-V97))</x:f>
        <x:v>0</x:v>
      </x:c>
      <x:c r="X97" s="22" t="n">
        <x:f>IF('Setup'!$B$22&gt;0,"",I97*('Processes'!F7+V97*'Processes'!H7)*'Processes'!C7*'Setup'!D19/'Processes'!B7)</x:f>
        <x:v>347.65200000000004</x:v>
      </x:c>
      <x:c r="Y97" s="22" t="n">
        <x:f>IF('Setup'!$B$22&gt;0,"",H97*F97)</x:f>
        <x:v>4</x:v>
      </x:c>
      <x:c r="Z97" s="25" t="n">
        <x:f>IF('Setup'!$B$22&gt;0,"",O97+P97)</x:f>
        <x:v>4363.92</x:v>
      </x:c>
      <x:c r="AA97" s="25" t="n">
        <x:f>IF('Setup'!$B$22&gt;0,"",'Processes'!D7*I97*'Processes'!E7*'Processes'!J7)</x:f>
        <x:v>3006.7200000000003</x:v>
      </x:c>
    </x:row>
    <x:row r="98" ht="23" customHeight="1">
      <x:c r="A98" s="1" t="str">
        <x:v>Disruption</x:v>
      </x:c>
      <x:c r="B98" s="1" t="n">
        <x:v>7</x:v>
      </x:c>
      <x:c r="C98" s="1" t="str">
        <x:f>'Processes'!A8</x:f>
        <x:v>Ship</x:v>
      </x:c>
      <x:c r="D98" s="22" t="n">
        <x:f>IF('Setup'!$B$22&gt;0,"",'Staffing'!E12)</x:f>
        <x:v>10</x:v>
      </x:c>
      <x:c r="E98" s="22" t="n">
        <x:f>IF('Setup'!$B$22&gt;0,"",IF(B98&gt;='Processes'!N8,'Processes'!O8,0))</x:f>
        <x:v>3</x:v>
      </x:c>
      <x:c r="F98" s="23" t="n">
        <x:f>IF('Setup'!$B$22&gt;0,"",IF(E98=0,0,INDEX('Setup'!$B$9:$B$13,MIN(5,B98-'Processes'!N8+1))))</x:f>
        <x:v>1</x:v>
      </x:c>
      <x:c r="G98" s="22" t="n">
        <x:f>IF('Setup'!$B$22&gt;0,"",MIN(D98,'Processes'!M8))</x:f>
        <x:v>10</x:v>
      </x:c>
      <x:c r="H98" s="22" t="n">
        <x:f>IF('Setup'!$B$22&gt;0,"",MIN(E98,MAX(0,'Processes'!M8-G98)))</x:f>
        <x:v>3</x:v>
      </x:c>
      <x:c r="I98" s="23" t="n">
        <x:f>IF('Setup'!$B$22&gt;0,"",1-'Processes'!G8-'Setup'!C19)</x:f>
        <x:v>0.87</x:v>
      </x:c>
      <x:c r="J98" s="22" t="n">
        <x:f>IF('Setup'!$B$22&gt;0,"",(G98+H98*F98)*I98*'Processes'!F8)</x:f>
        <x:v>73.515</x:v>
      </x:c>
      <x:c r="K98" s="22" t="n">
        <x:f>IF('Setup'!$B$22&gt;0,"",(G98+H98*F98)*I98*V98*'Processes'!H8)</x:f>
        <x:v>10.179</x:v>
      </x:c>
      <x:c r="L98" s="22" t="n">
        <x:f>IF('Setup'!$B$22&gt;0,"",(J98+K98)*'Processes'!C8*'Setup'!D19/'Processes'!B8)</x:f>
        <x:v>7532.46</x:v>
      </x:c>
      <x:c r="M98" s="22" t="n">
        <x:f>IF('Setup'!$B$22&gt;0,"",'Processes'!L8*'Setup'!E19)</x:f>
        <x:v>6800</x:v>
      </x:c>
      <x:c r="N98" s="24" t="n">
        <x:f>IF('Setup'!$B$22&gt;0,"",INT(MIN(L98,M98)))</x:f>
        <x:v>6800</x:v>
      </x:c>
      <x:c r="O98" s="25" t="n">
        <x:f>IF('Setup'!$B$22&gt;0,"",(D98+E98)*I98*'Processes'!E8*'Processes'!J8)</x:f>
        <x:v>2352.48</x:v>
      </x:c>
      <x:c r="P98" s="25" t="n">
        <x:f>IF('Setup'!$B$22&gt;0,"",(D98+E98)*I98*V98*'Processes'!J8*'Processes'!K8)</x:f>
        <x:v>441.09000000000003</x:v>
      </x:c>
      <x:c r="Q98" s="25" t="n">
        <x:f>IF('Setup'!$B$22&gt;0,"",Z98-AA98)</x:f>
        <x:v>983.9700000000003</x:v>
      </x:c>
      <x:c r="R98" s="22" t="n">
        <x:f>IF('Setup'!$B$22&gt;0,"",D98+E98)</x:f>
        <x:v>13</x:v>
      </x:c>
      <x:c r="S98" s="22" t="n">
        <x:f>IF('Setup'!$B$22&gt;0,"",'Processes'!M8)</x:f>
        <x:v>16</x:v>
      </x:c>
      <x:c r="T98" s="22" t="n">
        <x:f>IF('Setup'!$B$22&gt;0,"",MAX(0,R98-S98))</x:f>
        <x:v>0</x:v>
      </x:c>
      <x:c r="U98" s="22" t="n">
        <x:f>IF('Setup'!$B$22&gt;0,"",'Staffing'!H12)</x:f>
        <x:v>1</x:v>
      </x:c>
      <x:c r="V98" s="22" t="n">
        <x:f>IF('Setup'!$B$22&gt;0,"",MIN(U98,'Processes'!I8))</x:f>
        <x:v>1</x:v>
      </x:c>
      <x:c r="W98" s="22" t="n">
        <x:f>IF('Setup'!$B$22&gt;0,"",MAX(0,U98-V98))</x:f>
        <x:v>0</x:v>
      </x:c>
      <x:c r="X98" s="22" t="n">
        <x:f>IF('Setup'!$B$22&gt;0,"",I98*('Processes'!F8+V98*'Processes'!H8)*'Processes'!C8*'Setup'!D19/'Processes'!B8)</x:f>
        <x:v>579.4200000000001</x:v>
      </x:c>
      <x:c r="Y98" s="22" t="n">
        <x:f>IF('Setup'!$B$22&gt;0,"",H98*F98)</x:f>
        <x:v>3</x:v>
      </x:c>
      <x:c r="Z98" s="25" t="n">
        <x:f>IF('Setup'!$B$22&gt;0,"",O98+P98)</x:f>
        <x:v>2793.57</x:v>
      </x:c>
      <x:c r="AA98" s="25" t="n">
        <x:f>IF('Setup'!$B$22&gt;0,"",'Processes'!D8*I98*'Processes'!E8*'Processes'!J8)</x:f>
        <x:v>1809.6</x:v>
      </x:c>
    </x:row>
    <x:row r="99" ht="23" customHeight="1">
      <x:c r="A99" s="1" t="str">
        <x:v>Disruption</x:v>
      </x:c>
      <x:c r="B99" s="1" t="n">
        <x:v>8</x:v>
      </x:c>
      <x:c r="C99" s="1" t="str">
        <x:f>'Processes'!A6</x:f>
        <x:v>Pick</x:v>
      </x:c>
      <x:c r="D99" s="22" t="n">
        <x:f>IF('Setup'!$B$22&gt;0,"",'Staffing'!C13)</x:f>
        <x:v>24</x:v>
      </x:c>
      <x:c r="E99" s="22" t="n">
        <x:f>IF('Setup'!$B$22&gt;0,"",IF(B99&gt;='Processes'!N6,'Processes'!O6,0))</x:f>
        <x:v>4</x:v>
      </x:c>
      <x:c r="F99" s="23" t="n">
        <x:f>IF('Setup'!$B$22&gt;0,"",IF(E99=0,0,INDEX('Setup'!$B$9:$B$13,MIN(5,B99-'Processes'!N6+1))))</x:f>
        <x:v>1</x:v>
      </x:c>
      <x:c r="G99" s="22" t="n">
        <x:f>IF('Setup'!$B$22&gt;0,"",MIN(D99,'Processes'!M6))</x:f>
        <x:v>24</x:v>
      </x:c>
      <x:c r="H99" s="22" t="n">
        <x:f>IF('Setup'!$B$22&gt;0,"",MIN(E99,MAX(0,'Processes'!M6-G99)))</x:f>
        <x:v>4</x:v>
      </x:c>
      <x:c r="I99" s="23" t="n">
        <x:f>IF('Setup'!$B$22&gt;0,"",1-'Processes'!G6-'Setup'!C19)</x:f>
        <x:v>0.87</x:v>
      </x:c>
      <x:c r="J99" s="22" t="n">
        <x:f>IF('Setup'!$B$22&gt;0,"",(G99+H99*F99)*I99*'Processes'!F6)</x:f>
        <x:v>158.34</x:v>
      </x:c>
      <x:c r="K99" s="22" t="n">
        <x:f>IF('Setup'!$B$22&gt;0,"",(G99+H99*F99)*I99*V99*'Processes'!H6)</x:f>
        <x:v>21.924</x:v>
      </x:c>
      <x:c r="L99" s="22" t="n">
        <x:f>IF('Setup'!$B$22&gt;0,"",(J99+K99)*'Processes'!C6*'Setup'!D19/'Processes'!B6)</x:f>
        <x:v>8111.880000000001</x:v>
      </x:c>
      <x:c r="M99" s="22" t="n">
        <x:f>IF('Setup'!$B$22&gt;0,"",'Processes'!L6*'Setup'!E19)</x:f>
        <x:v>8500</x:v>
      </x:c>
      <x:c r="N99" s="24" t="n">
        <x:f>IF('Setup'!$B$22&gt;0,"",INT(MIN(L99,M99)))</x:f>
        <x:v>8111</x:v>
      </x:c>
      <x:c r="O99" s="25" t="n">
        <x:f>IF('Setup'!$B$22&gt;0,"",(D99+E99)*I99*'Processes'!E6*'Processes'!J6)</x:f>
        <x:v>4677.12</x:v>
      </x:c>
      <x:c r="P99" s="25" t="n">
        <x:f>IF('Setup'!$B$22&gt;0,"",(D99+E99)*I99*V99*'Processes'!J6*'Processes'!K6)</x:f>
        <x:v>876.96</x:v>
      </x:c>
      <x:c r="Q99" s="25" t="n">
        <x:f>IF('Setup'!$B$22&gt;0,"",Z99-AA99)</x:f>
        <x:v>1545.12</x:v>
      </x:c>
      <x:c r="R99" s="22" t="n">
        <x:f>IF('Setup'!$B$22&gt;0,"",D99+E99)</x:f>
        <x:v>28</x:v>
      </x:c>
      <x:c r="S99" s="22" t="n">
        <x:f>IF('Setup'!$B$22&gt;0,"",'Processes'!M6)</x:f>
        <x:v>32</x:v>
      </x:c>
      <x:c r="T99" s="22" t="n">
        <x:f>IF('Setup'!$B$22&gt;0,"",MAX(0,R99-S99))</x:f>
        <x:v>0</x:v>
      </x:c>
      <x:c r="U99" s="22" t="n">
        <x:f>IF('Setup'!$B$22&gt;0,"",'Staffing'!F13)</x:f>
        <x:v>1</x:v>
      </x:c>
      <x:c r="V99" s="22" t="n">
        <x:f>IF('Setup'!$B$22&gt;0,"",MIN(U99,'Processes'!I6))</x:f>
        <x:v>1</x:v>
      </x:c>
      <x:c r="W99" s="22" t="n">
        <x:f>IF('Setup'!$B$22&gt;0,"",MAX(0,U99-V99))</x:f>
        <x:v>0</x:v>
      </x:c>
      <x:c r="X99" s="22" t="n">
        <x:f>IF('Setup'!$B$22&gt;0,"",I99*('Processes'!F6+V99*'Processes'!H6)*'Processes'!C6*'Setup'!D19/'Processes'!B6)</x:f>
        <x:v>289.71000000000004</x:v>
      </x:c>
      <x:c r="Y99" s="22" t="n">
        <x:f>IF('Setup'!$B$22&gt;0,"",H99*F99)</x:f>
        <x:v>4</x:v>
      </x:c>
      <x:c r="Z99" s="25" t="n">
        <x:f>IF('Setup'!$B$22&gt;0,"",O99+P99)</x:f>
        <x:v>5554.08</x:v>
      </x:c>
      <x:c r="AA99" s="25" t="n">
        <x:f>IF('Setup'!$B$22&gt;0,"",'Processes'!D6*I99*'Processes'!E6*'Processes'!J6)</x:f>
        <x:v>4008.96</x:v>
      </x:c>
    </x:row>
    <x:row r="100" ht="23" customHeight="1">
      <x:c r="A100" s="1" t="str">
        <x:v>Disruption</x:v>
      </x:c>
      <x:c r="B100" s="1" t="n">
        <x:v>8</x:v>
      </x:c>
      <x:c r="C100" s="1" t="str">
        <x:f>'Processes'!A7</x:f>
        <x:v>Pack</x:v>
      </x:c>
      <x:c r="D100" s="22" t="n">
        <x:f>IF('Setup'!$B$22&gt;0,"",'Staffing'!D13)</x:f>
        <x:v>18</x:v>
      </x:c>
      <x:c r="E100" s="22" t="n">
        <x:f>IF('Setup'!$B$22&gt;0,"",IF(B100&gt;='Processes'!N7,'Processes'!O7,0))</x:f>
        <x:v>4</x:v>
      </x:c>
      <x:c r="F100" s="23" t="n">
        <x:f>IF('Setup'!$B$22&gt;0,"",IF(E100=0,0,INDEX('Setup'!$B$9:$B$13,MIN(5,B100-'Processes'!N7+1))))</x:f>
        <x:v>1</x:v>
      </x:c>
      <x:c r="G100" s="22" t="n">
        <x:f>IF('Setup'!$B$22&gt;0,"",MIN(D100,'Processes'!M7))</x:f>
        <x:v>18</x:v>
      </x:c>
      <x:c r="H100" s="22" t="n">
        <x:f>IF('Setup'!$B$22&gt;0,"",MIN(E100,MAX(0,'Processes'!M7-G100)))</x:f>
        <x:v>4</x:v>
      </x:c>
      <x:c r="I100" s="23" t="n">
        <x:f>IF('Setup'!$B$22&gt;0,"",1-'Processes'!G7-'Setup'!C19)</x:f>
        <x:v>0.87</x:v>
      </x:c>
      <x:c r="J100" s="22" t="n">
        <x:f>IF('Setup'!$B$22&gt;0,"",(G100+H100*F100)*I100*'Processes'!F7)</x:f>
        <x:v>124.41</x:v>
      </x:c>
      <x:c r="K100" s="22" t="n">
        <x:f>IF('Setup'!$B$22&gt;0,"",(G100+H100*F100)*I100*V100*'Processes'!H7)</x:f>
        <x:v>17.226000000000003</x:v>
      </x:c>
      <x:c r="L100" s="22" t="n">
        <x:f>IF('Setup'!$B$22&gt;0,"",(J100+K100)*'Processes'!C7*'Setup'!D19/'Processes'!B7)</x:f>
        <x:v>7648.344</x:v>
      </x:c>
      <x:c r="M100" s="22" t="n">
        <x:f>IF('Setup'!$B$22&gt;0,"",'Processes'!L7*'Setup'!E19)</x:f>
        <x:v>7650</x:v>
      </x:c>
      <x:c r="N100" s="24" t="n">
        <x:f>IF('Setup'!$B$22&gt;0,"",INT(MIN(L100,M100)))</x:f>
        <x:v>7648</x:v>
      </x:c>
      <x:c r="O100" s="25" t="n">
        <x:f>IF('Setup'!$B$22&gt;0,"",(D100+E100)*I100*'Processes'!E7*'Processes'!J7)</x:f>
        <x:v>3674.88</x:v>
      </x:c>
      <x:c r="P100" s="25" t="n">
        <x:f>IF('Setup'!$B$22&gt;0,"",(D100+E100)*I100*V100*'Processes'!J7*'Processes'!K7)</x:f>
        <x:v>689.04</x:v>
      </x:c>
      <x:c r="Q100" s="25" t="n">
        <x:f>IF('Setup'!$B$22&gt;0,"",Z100-AA100)</x:f>
        <x:v>1357.1999999999998</x:v>
      </x:c>
      <x:c r="R100" s="22" t="n">
        <x:f>IF('Setup'!$B$22&gt;0,"",D100+E100)</x:f>
        <x:v>22</x:v>
      </x:c>
      <x:c r="S100" s="22" t="n">
        <x:f>IF('Setup'!$B$22&gt;0,"",'Processes'!M7)</x:f>
        <x:v>26</x:v>
      </x:c>
      <x:c r="T100" s="22" t="n">
        <x:f>IF('Setup'!$B$22&gt;0,"",MAX(0,R100-S100))</x:f>
        <x:v>0</x:v>
      </x:c>
      <x:c r="U100" s="22" t="n">
        <x:f>IF('Setup'!$B$22&gt;0,"",'Staffing'!G13)</x:f>
        <x:v>1</x:v>
      </x:c>
      <x:c r="V100" s="22" t="n">
        <x:f>IF('Setup'!$B$22&gt;0,"",MIN(U100,'Processes'!I7))</x:f>
        <x:v>1</x:v>
      </x:c>
      <x:c r="W100" s="22" t="n">
        <x:f>IF('Setup'!$B$22&gt;0,"",MAX(0,U100-V100))</x:f>
        <x:v>0</x:v>
      </x:c>
      <x:c r="X100" s="22" t="n">
        <x:f>IF('Setup'!$B$22&gt;0,"",I100*('Processes'!F7+V100*'Processes'!H7)*'Processes'!C7*'Setup'!D19/'Processes'!B7)</x:f>
        <x:v>347.65200000000004</x:v>
      </x:c>
      <x:c r="Y100" s="22" t="n">
        <x:f>IF('Setup'!$B$22&gt;0,"",H100*F100)</x:f>
        <x:v>4</x:v>
      </x:c>
      <x:c r="Z100" s="25" t="n">
        <x:f>IF('Setup'!$B$22&gt;0,"",O100+P100)</x:f>
        <x:v>4363.92</x:v>
      </x:c>
      <x:c r="AA100" s="25" t="n">
        <x:f>IF('Setup'!$B$22&gt;0,"",'Processes'!D7*I100*'Processes'!E7*'Processes'!J7)</x:f>
        <x:v>3006.7200000000003</x:v>
      </x:c>
    </x:row>
    <x:row r="101" ht="23" customHeight="1">
      <x:c r="A101" s="1" t="str">
        <x:v>Disruption</x:v>
      </x:c>
      <x:c r="B101" s="1" t="n">
        <x:v>8</x:v>
      </x:c>
      <x:c r="C101" s="1" t="str">
        <x:f>'Processes'!A8</x:f>
        <x:v>Ship</x:v>
      </x:c>
      <x:c r="D101" s="22" t="n">
        <x:f>IF('Setup'!$B$22&gt;0,"",'Staffing'!E13)</x:f>
        <x:v>10</x:v>
      </x:c>
      <x:c r="E101" s="22" t="n">
        <x:f>IF('Setup'!$B$22&gt;0,"",IF(B101&gt;='Processes'!N8,'Processes'!O8,0))</x:f>
        <x:v>3</x:v>
      </x:c>
      <x:c r="F101" s="23" t="n">
        <x:f>IF('Setup'!$B$22&gt;0,"",IF(E101=0,0,INDEX('Setup'!$B$9:$B$13,MIN(5,B101-'Processes'!N8+1))))</x:f>
        <x:v>1</x:v>
      </x:c>
      <x:c r="G101" s="22" t="n">
        <x:f>IF('Setup'!$B$22&gt;0,"",MIN(D101,'Processes'!M8))</x:f>
        <x:v>10</x:v>
      </x:c>
      <x:c r="H101" s="22" t="n">
        <x:f>IF('Setup'!$B$22&gt;0,"",MIN(E101,MAX(0,'Processes'!M8-G101)))</x:f>
        <x:v>3</x:v>
      </x:c>
      <x:c r="I101" s="23" t="n">
        <x:f>IF('Setup'!$B$22&gt;0,"",1-'Processes'!G8-'Setup'!C19)</x:f>
        <x:v>0.87</x:v>
      </x:c>
      <x:c r="J101" s="22" t="n">
        <x:f>IF('Setup'!$B$22&gt;0,"",(G101+H101*F101)*I101*'Processes'!F8)</x:f>
        <x:v>73.515</x:v>
      </x:c>
      <x:c r="K101" s="22" t="n">
        <x:f>IF('Setup'!$B$22&gt;0,"",(G101+H101*F101)*I101*V101*'Processes'!H8)</x:f>
        <x:v>10.179</x:v>
      </x:c>
      <x:c r="L101" s="22" t="n">
        <x:f>IF('Setup'!$B$22&gt;0,"",(J101+K101)*'Processes'!C8*'Setup'!D19/'Processes'!B8)</x:f>
        <x:v>7532.46</x:v>
      </x:c>
      <x:c r="M101" s="22" t="n">
        <x:f>IF('Setup'!$B$22&gt;0,"",'Processes'!L8*'Setup'!E19)</x:f>
        <x:v>6800</x:v>
      </x:c>
      <x:c r="N101" s="24" t="n">
        <x:f>IF('Setup'!$B$22&gt;0,"",INT(MIN(L101,M101)))</x:f>
        <x:v>6800</x:v>
      </x:c>
      <x:c r="O101" s="25" t="n">
        <x:f>IF('Setup'!$B$22&gt;0,"",(D101+E101)*I101*'Processes'!E8*'Processes'!J8)</x:f>
        <x:v>2352.48</x:v>
      </x:c>
      <x:c r="P101" s="25" t="n">
        <x:f>IF('Setup'!$B$22&gt;0,"",(D101+E101)*I101*V101*'Processes'!J8*'Processes'!K8)</x:f>
        <x:v>441.09000000000003</x:v>
      </x:c>
      <x:c r="Q101" s="25" t="n">
        <x:f>IF('Setup'!$B$22&gt;0,"",Z101-AA101)</x:f>
        <x:v>983.9700000000003</x:v>
      </x:c>
      <x:c r="R101" s="22" t="n">
        <x:f>IF('Setup'!$B$22&gt;0,"",D101+E101)</x:f>
        <x:v>13</x:v>
      </x:c>
      <x:c r="S101" s="22" t="n">
        <x:f>IF('Setup'!$B$22&gt;0,"",'Processes'!M8)</x:f>
        <x:v>16</x:v>
      </x:c>
      <x:c r="T101" s="22" t="n">
        <x:f>IF('Setup'!$B$22&gt;0,"",MAX(0,R101-S101))</x:f>
        <x:v>0</x:v>
      </x:c>
      <x:c r="U101" s="22" t="n">
        <x:f>IF('Setup'!$B$22&gt;0,"",'Staffing'!H13)</x:f>
        <x:v>1</x:v>
      </x:c>
      <x:c r="V101" s="22" t="n">
        <x:f>IF('Setup'!$B$22&gt;0,"",MIN(U101,'Processes'!I8))</x:f>
        <x:v>1</x:v>
      </x:c>
      <x:c r="W101" s="22" t="n">
        <x:f>IF('Setup'!$B$22&gt;0,"",MAX(0,U101-V101))</x:f>
        <x:v>0</x:v>
      </x:c>
      <x:c r="X101" s="22" t="n">
        <x:f>IF('Setup'!$B$22&gt;0,"",I101*('Processes'!F8+V101*'Processes'!H8)*'Processes'!C8*'Setup'!D19/'Processes'!B8)</x:f>
        <x:v>579.4200000000001</x:v>
      </x:c>
      <x:c r="Y101" s="22" t="n">
        <x:f>IF('Setup'!$B$22&gt;0,"",H101*F101)</x:f>
        <x:v>3</x:v>
      </x:c>
      <x:c r="Z101" s="25" t="n">
        <x:f>IF('Setup'!$B$22&gt;0,"",O101+P101)</x:f>
        <x:v>2793.57</x:v>
      </x:c>
      <x:c r="AA101" s="25" t="n">
        <x:f>IF('Setup'!$B$22&gt;0,"",'Processes'!D8*I101*'Processes'!E8*'Processes'!J8)</x:f>
        <x:v>1809.6</x:v>
      </x:c>
    </x:row>
    <x:row r="102" ht="23" customHeight="1">
      <x:c r="A102" s="1" t="str">
        <x:v>Disruption</x:v>
      </x:c>
      <x:c r="B102" s="1" t="n">
        <x:v>9</x:v>
      </x:c>
      <x:c r="C102" s="1" t="str">
        <x:f>'Processes'!A6</x:f>
        <x:v>Pick</x:v>
      </x:c>
      <x:c r="D102" s="22" t="n">
        <x:f>IF('Setup'!$B$22&gt;0,"",'Staffing'!C14)</x:f>
        <x:v>24</x:v>
      </x:c>
      <x:c r="E102" s="22" t="n">
        <x:f>IF('Setup'!$B$22&gt;0,"",IF(B102&gt;='Processes'!N6,'Processes'!O6,0))</x:f>
        <x:v>4</x:v>
      </x:c>
      <x:c r="F102" s="23" t="n">
        <x:f>IF('Setup'!$B$22&gt;0,"",IF(E102=0,0,INDEX('Setup'!$B$9:$B$13,MIN(5,B102-'Processes'!N6+1))))</x:f>
        <x:v>1</x:v>
      </x:c>
      <x:c r="G102" s="22" t="n">
        <x:f>IF('Setup'!$B$22&gt;0,"",MIN(D102,'Processes'!M6))</x:f>
        <x:v>24</x:v>
      </x:c>
      <x:c r="H102" s="22" t="n">
        <x:f>IF('Setup'!$B$22&gt;0,"",MIN(E102,MAX(0,'Processes'!M6-G102)))</x:f>
        <x:v>4</x:v>
      </x:c>
      <x:c r="I102" s="23" t="n">
        <x:f>IF('Setup'!$B$22&gt;0,"",1-'Processes'!G6-'Setup'!C19)</x:f>
        <x:v>0.87</x:v>
      </x:c>
      <x:c r="J102" s="22" t="n">
        <x:f>IF('Setup'!$B$22&gt;0,"",(G102+H102*F102)*I102*'Processes'!F6)</x:f>
        <x:v>158.34</x:v>
      </x:c>
      <x:c r="K102" s="22" t="n">
        <x:f>IF('Setup'!$B$22&gt;0,"",(G102+H102*F102)*I102*V102*'Processes'!H6)</x:f>
        <x:v>21.924</x:v>
      </x:c>
      <x:c r="L102" s="22" t="n">
        <x:f>IF('Setup'!$B$22&gt;0,"",(J102+K102)*'Processes'!C6*'Setup'!D19/'Processes'!B6)</x:f>
        <x:v>8111.880000000001</x:v>
      </x:c>
      <x:c r="M102" s="22" t="n">
        <x:f>IF('Setup'!$B$22&gt;0,"",'Processes'!L6*'Setup'!E19)</x:f>
        <x:v>8500</x:v>
      </x:c>
      <x:c r="N102" s="24" t="n">
        <x:f>IF('Setup'!$B$22&gt;0,"",INT(MIN(L102,M102)))</x:f>
        <x:v>8111</x:v>
      </x:c>
      <x:c r="O102" s="25" t="n">
        <x:f>IF('Setup'!$B$22&gt;0,"",(D102+E102)*I102*'Processes'!E6*'Processes'!J6)</x:f>
        <x:v>4677.12</x:v>
      </x:c>
      <x:c r="P102" s="25" t="n">
        <x:f>IF('Setup'!$B$22&gt;0,"",(D102+E102)*I102*V102*'Processes'!J6*'Processes'!K6)</x:f>
        <x:v>876.96</x:v>
      </x:c>
      <x:c r="Q102" s="25" t="n">
        <x:f>IF('Setup'!$B$22&gt;0,"",Z102-AA102)</x:f>
        <x:v>1545.12</x:v>
      </x:c>
      <x:c r="R102" s="22" t="n">
        <x:f>IF('Setup'!$B$22&gt;0,"",D102+E102)</x:f>
        <x:v>28</x:v>
      </x:c>
      <x:c r="S102" s="22" t="n">
        <x:f>IF('Setup'!$B$22&gt;0,"",'Processes'!M6)</x:f>
        <x:v>32</x:v>
      </x:c>
      <x:c r="T102" s="22" t="n">
        <x:f>IF('Setup'!$B$22&gt;0,"",MAX(0,R102-S102))</x:f>
        <x:v>0</x:v>
      </x:c>
      <x:c r="U102" s="22" t="n">
        <x:f>IF('Setup'!$B$22&gt;0,"",'Staffing'!F14)</x:f>
        <x:v>1</x:v>
      </x:c>
      <x:c r="V102" s="22" t="n">
        <x:f>IF('Setup'!$B$22&gt;0,"",MIN(U102,'Processes'!I6))</x:f>
        <x:v>1</x:v>
      </x:c>
      <x:c r="W102" s="22" t="n">
        <x:f>IF('Setup'!$B$22&gt;0,"",MAX(0,U102-V102))</x:f>
        <x:v>0</x:v>
      </x:c>
      <x:c r="X102" s="22" t="n">
        <x:f>IF('Setup'!$B$22&gt;0,"",I102*('Processes'!F6+V102*'Processes'!H6)*'Processes'!C6*'Setup'!D19/'Processes'!B6)</x:f>
        <x:v>289.71000000000004</x:v>
      </x:c>
      <x:c r="Y102" s="22" t="n">
        <x:f>IF('Setup'!$B$22&gt;0,"",H102*F102)</x:f>
        <x:v>4</x:v>
      </x:c>
      <x:c r="Z102" s="25" t="n">
        <x:f>IF('Setup'!$B$22&gt;0,"",O102+P102)</x:f>
        <x:v>5554.08</x:v>
      </x:c>
      <x:c r="AA102" s="25" t="n">
        <x:f>IF('Setup'!$B$22&gt;0,"",'Processes'!D6*I102*'Processes'!E6*'Processes'!J6)</x:f>
        <x:v>4008.96</x:v>
      </x:c>
    </x:row>
    <x:row r="103" ht="23" customHeight="1">
      <x:c r="A103" s="1" t="str">
        <x:v>Disruption</x:v>
      </x:c>
      <x:c r="B103" s="1" t="n">
        <x:v>9</x:v>
      </x:c>
      <x:c r="C103" s="1" t="str">
        <x:f>'Processes'!A7</x:f>
        <x:v>Pack</x:v>
      </x:c>
      <x:c r="D103" s="22" t="n">
        <x:f>IF('Setup'!$B$22&gt;0,"",'Staffing'!D14)</x:f>
        <x:v>18</x:v>
      </x:c>
      <x:c r="E103" s="22" t="n">
        <x:f>IF('Setup'!$B$22&gt;0,"",IF(B103&gt;='Processes'!N7,'Processes'!O7,0))</x:f>
        <x:v>4</x:v>
      </x:c>
      <x:c r="F103" s="23" t="n">
        <x:f>IF('Setup'!$B$22&gt;0,"",IF(E103=0,0,INDEX('Setup'!$B$9:$B$13,MIN(5,B103-'Processes'!N7+1))))</x:f>
        <x:v>1</x:v>
      </x:c>
      <x:c r="G103" s="22" t="n">
        <x:f>IF('Setup'!$B$22&gt;0,"",MIN(D103,'Processes'!M7))</x:f>
        <x:v>18</x:v>
      </x:c>
      <x:c r="H103" s="22" t="n">
        <x:f>IF('Setup'!$B$22&gt;0,"",MIN(E103,MAX(0,'Processes'!M7-G103)))</x:f>
        <x:v>4</x:v>
      </x:c>
      <x:c r="I103" s="23" t="n">
        <x:f>IF('Setup'!$B$22&gt;0,"",1-'Processes'!G7-'Setup'!C19)</x:f>
        <x:v>0.87</x:v>
      </x:c>
      <x:c r="J103" s="22" t="n">
        <x:f>IF('Setup'!$B$22&gt;0,"",(G103+H103*F103)*I103*'Processes'!F7)</x:f>
        <x:v>124.41</x:v>
      </x:c>
      <x:c r="K103" s="22" t="n">
        <x:f>IF('Setup'!$B$22&gt;0,"",(G103+H103*F103)*I103*V103*'Processes'!H7)</x:f>
        <x:v>17.226000000000003</x:v>
      </x:c>
      <x:c r="L103" s="22" t="n">
        <x:f>IF('Setup'!$B$22&gt;0,"",(J103+K103)*'Processes'!C7*'Setup'!D19/'Processes'!B7)</x:f>
        <x:v>7648.344</x:v>
      </x:c>
      <x:c r="M103" s="22" t="n">
        <x:f>IF('Setup'!$B$22&gt;0,"",'Processes'!L7*'Setup'!E19)</x:f>
        <x:v>7650</x:v>
      </x:c>
      <x:c r="N103" s="24" t="n">
        <x:f>IF('Setup'!$B$22&gt;0,"",INT(MIN(L103,M103)))</x:f>
        <x:v>7648</x:v>
      </x:c>
      <x:c r="O103" s="25" t="n">
        <x:f>IF('Setup'!$B$22&gt;0,"",(D103+E103)*I103*'Processes'!E7*'Processes'!J7)</x:f>
        <x:v>3674.88</x:v>
      </x:c>
      <x:c r="P103" s="25" t="n">
        <x:f>IF('Setup'!$B$22&gt;0,"",(D103+E103)*I103*V103*'Processes'!J7*'Processes'!K7)</x:f>
        <x:v>689.04</x:v>
      </x:c>
      <x:c r="Q103" s="25" t="n">
        <x:f>IF('Setup'!$B$22&gt;0,"",Z103-AA103)</x:f>
        <x:v>1357.1999999999998</x:v>
      </x:c>
      <x:c r="R103" s="22" t="n">
        <x:f>IF('Setup'!$B$22&gt;0,"",D103+E103)</x:f>
        <x:v>22</x:v>
      </x:c>
      <x:c r="S103" s="22" t="n">
        <x:f>IF('Setup'!$B$22&gt;0,"",'Processes'!M7)</x:f>
        <x:v>26</x:v>
      </x:c>
      <x:c r="T103" s="22" t="n">
        <x:f>IF('Setup'!$B$22&gt;0,"",MAX(0,R103-S103))</x:f>
        <x:v>0</x:v>
      </x:c>
      <x:c r="U103" s="22" t="n">
        <x:f>IF('Setup'!$B$22&gt;0,"",'Staffing'!G14)</x:f>
        <x:v>1</x:v>
      </x:c>
      <x:c r="V103" s="22" t="n">
        <x:f>IF('Setup'!$B$22&gt;0,"",MIN(U103,'Processes'!I7))</x:f>
        <x:v>1</x:v>
      </x:c>
      <x:c r="W103" s="22" t="n">
        <x:f>IF('Setup'!$B$22&gt;0,"",MAX(0,U103-V103))</x:f>
        <x:v>0</x:v>
      </x:c>
      <x:c r="X103" s="22" t="n">
        <x:f>IF('Setup'!$B$22&gt;0,"",I103*('Processes'!F7+V103*'Processes'!H7)*'Processes'!C7*'Setup'!D19/'Processes'!B7)</x:f>
        <x:v>347.65200000000004</x:v>
      </x:c>
      <x:c r="Y103" s="22" t="n">
        <x:f>IF('Setup'!$B$22&gt;0,"",H103*F103)</x:f>
        <x:v>4</x:v>
      </x:c>
      <x:c r="Z103" s="25" t="n">
        <x:f>IF('Setup'!$B$22&gt;0,"",O103+P103)</x:f>
        <x:v>4363.92</x:v>
      </x:c>
      <x:c r="AA103" s="25" t="n">
        <x:f>IF('Setup'!$B$22&gt;0,"",'Processes'!D7*I103*'Processes'!E7*'Processes'!J7)</x:f>
        <x:v>3006.7200000000003</x:v>
      </x:c>
    </x:row>
    <x:row r="104" ht="23" customHeight="1">
      <x:c r="A104" s="1" t="str">
        <x:v>Disruption</x:v>
      </x:c>
      <x:c r="B104" s="1" t="n">
        <x:v>9</x:v>
      </x:c>
      <x:c r="C104" s="1" t="str">
        <x:f>'Processes'!A8</x:f>
        <x:v>Ship</x:v>
      </x:c>
      <x:c r="D104" s="22" t="n">
        <x:f>IF('Setup'!$B$22&gt;0,"",'Staffing'!E14)</x:f>
        <x:v>10</x:v>
      </x:c>
      <x:c r="E104" s="22" t="n">
        <x:f>IF('Setup'!$B$22&gt;0,"",IF(B104&gt;='Processes'!N8,'Processes'!O8,0))</x:f>
        <x:v>3</x:v>
      </x:c>
      <x:c r="F104" s="23" t="n">
        <x:f>IF('Setup'!$B$22&gt;0,"",IF(E104=0,0,INDEX('Setup'!$B$9:$B$13,MIN(5,B104-'Processes'!N8+1))))</x:f>
        <x:v>1</x:v>
      </x:c>
      <x:c r="G104" s="22" t="n">
        <x:f>IF('Setup'!$B$22&gt;0,"",MIN(D104,'Processes'!M8))</x:f>
        <x:v>10</x:v>
      </x:c>
      <x:c r="H104" s="22" t="n">
        <x:f>IF('Setup'!$B$22&gt;0,"",MIN(E104,MAX(0,'Processes'!M8-G104)))</x:f>
        <x:v>3</x:v>
      </x:c>
      <x:c r="I104" s="23" t="n">
        <x:f>IF('Setup'!$B$22&gt;0,"",1-'Processes'!G8-'Setup'!C19)</x:f>
        <x:v>0.87</x:v>
      </x:c>
      <x:c r="J104" s="22" t="n">
        <x:f>IF('Setup'!$B$22&gt;0,"",(G104+H104*F104)*I104*'Processes'!F8)</x:f>
        <x:v>73.515</x:v>
      </x:c>
      <x:c r="K104" s="22" t="n">
        <x:f>IF('Setup'!$B$22&gt;0,"",(G104+H104*F104)*I104*V104*'Processes'!H8)</x:f>
        <x:v>10.179</x:v>
      </x:c>
      <x:c r="L104" s="22" t="n">
        <x:f>IF('Setup'!$B$22&gt;0,"",(J104+K104)*'Processes'!C8*'Setup'!D19/'Processes'!B8)</x:f>
        <x:v>7532.46</x:v>
      </x:c>
      <x:c r="M104" s="22" t="n">
        <x:f>IF('Setup'!$B$22&gt;0,"",'Processes'!L8*'Setup'!E19)</x:f>
        <x:v>6800</x:v>
      </x:c>
      <x:c r="N104" s="24" t="n">
        <x:f>IF('Setup'!$B$22&gt;0,"",INT(MIN(L104,M104)))</x:f>
        <x:v>6800</x:v>
      </x:c>
      <x:c r="O104" s="25" t="n">
        <x:f>IF('Setup'!$B$22&gt;0,"",(D104+E104)*I104*'Processes'!E8*'Processes'!J8)</x:f>
        <x:v>2352.48</x:v>
      </x:c>
      <x:c r="P104" s="25" t="n">
        <x:f>IF('Setup'!$B$22&gt;0,"",(D104+E104)*I104*V104*'Processes'!J8*'Processes'!K8)</x:f>
        <x:v>441.09000000000003</x:v>
      </x:c>
      <x:c r="Q104" s="25" t="n">
        <x:f>IF('Setup'!$B$22&gt;0,"",Z104-AA104)</x:f>
        <x:v>983.9700000000003</x:v>
      </x:c>
      <x:c r="R104" s="22" t="n">
        <x:f>IF('Setup'!$B$22&gt;0,"",D104+E104)</x:f>
        <x:v>13</x:v>
      </x:c>
      <x:c r="S104" s="22" t="n">
        <x:f>IF('Setup'!$B$22&gt;0,"",'Processes'!M8)</x:f>
        <x:v>16</x:v>
      </x:c>
      <x:c r="T104" s="22" t="n">
        <x:f>IF('Setup'!$B$22&gt;0,"",MAX(0,R104-S104))</x:f>
        <x:v>0</x:v>
      </x:c>
      <x:c r="U104" s="22" t="n">
        <x:f>IF('Setup'!$B$22&gt;0,"",'Staffing'!H14)</x:f>
        <x:v>1</x:v>
      </x:c>
      <x:c r="V104" s="22" t="n">
        <x:f>IF('Setup'!$B$22&gt;0,"",MIN(U104,'Processes'!I8))</x:f>
        <x:v>1</x:v>
      </x:c>
      <x:c r="W104" s="22" t="n">
        <x:f>IF('Setup'!$B$22&gt;0,"",MAX(0,U104-V104))</x:f>
        <x:v>0</x:v>
      </x:c>
      <x:c r="X104" s="22" t="n">
        <x:f>IF('Setup'!$B$22&gt;0,"",I104*('Processes'!F8+V104*'Processes'!H8)*'Processes'!C8*'Setup'!D19/'Processes'!B8)</x:f>
        <x:v>579.4200000000001</x:v>
      </x:c>
      <x:c r="Y104" s="22" t="n">
        <x:f>IF('Setup'!$B$22&gt;0,"",H104*F104)</x:f>
        <x:v>3</x:v>
      </x:c>
      <x:c r="Z104" s="25" t="n">
        <x:f>IF('Setup'!$B$22&gt;0,"",O104+P104)</x:f>
        <x:v>2793.57</x:v>
      </x:c>
      <x:c r="AA104" s="25" t="n">
        <x:f>IF('Setup'!$B$22&gt;0,"",'Processes'!D8*I104*'Processes'!E8*'Processes'!J8)</x:f>
        <x:v>1809.6</x:v>
      </x:c>
    </x:row>
    <x:row r="105" ht="23" customHeight="1">
      <x:c r="A105" s="1" t="str">
        <x:v>Disruption</x:v>
      </x:c>
      <x:c r="B105" s="1" t="n">
        <x:v>10</x:v>
      </x:c>
      <x:c r="C105" s="1" t="str">
        <x:f>'Processes'!A6</x:f>
        <x:v>Pick</x:v>
      </x:c>
      <x:c r="D105" s="22" t="n">
        <x:f>IF('Setup'!$B$22&gt;0,"",'Staffing'!C15)</x:f>
        <x:v>24</x:v>
      </x:c>
      <x:c r="E105" s="22" t="n">
        <x:f>IF('Setup'!$B$22&gt;0,"",IF(B105&gt;='Processes'!N6,'Processes'!O6,0))</x:f>
        <x:v>4</x:v>
      </x:c>
      <x:c r="F105" s="23" t="n">
        <x:f>IF('Setup'!$B$22&gt;0,"",IF(E105=0,0,INDEX('Setup'!$B$9:$B$13,MIN(5,B105-'Processes'!N6+1))))</x:f>
        <x:v>1</x:v>
      </x:c>
      <x:c r="G105" s="22" t="n">
        <x:f>IF('Setup'!$B$22&gt;0,"",MIN(D105,'Processes'!M6))</x:f>
        <x:v>24</x:v>
      </x:c>
      <x:c r="H105" s="22" t="n">
        <x:f>IF('Setup'!$B$22&gt;0,"",MIN(E105,MAX(0,'Processes'!M6-G105)))</x:f>
        <x:v>4</x:v>
      </x:c>
      <x:c r="I105" s="23" t="n">
        <x:f>IF('Setup'!$B$22&gt;0,"",1-'Processes'!G6-'Setup'!C19)</x:f>
        <x:v>0.87</x:v>
      </x:c>
      <x:c r="J105" s="22" t="n">
        <x:f>IF('Setup'!$B$22&gt;0,"",(G105+H105*F105)*I105*'Processes'!F6)</x:f>
        <x:v>158.34</x:v>
      </x:c>
      <x:c r="K105" s="22" t="n">
        <x:f>IF('Setup'!$B$22&gt;0,"",(G105+H105*F105)*I105*V105*'Processes'!H6)</x:f>
        <x:v>0</x:v>
      </x:c>
      <x:c r="L105" s="22" t="n">
        <x:f>IF('Setup'!$B$22&gt;0,"",(J105+K105)*'Processes'!C6*'Setup'!D19/'Processes'!B6)</x:f>
        <x:v>7125.3</x:v>
      </x:c>
      <x:c r="M105" s="22" t="n">
        <x:f>IF('Setup'!$B$22&gt;0,"",'Processes'!L6*'Setup'!E19)</x:f>
        <x:v>8500</x:v>
      </x:c>
      <x:c r="N105" s="24" t="n">
        <x:f>IF('Setup'!$B$22&gt;0,"",INT(MIN(L105,M105)))</x:f>
        <x:v>7125</x:v>
      </x:c>
      <x:c r="O105" s="25" t="n">
        <x:f>IF('Setup'!$B$22&gt;0,"",(D105+E105)*I105*'Processes'!E6*'Processes'!J6)</x:f>
        <x:v>4677.12</x:v>
      </x:c>
      <x:c r="P105" s="25" t="n">
        <x:f>IF('Setup'!$B$22&gt;0,"",(D105+E105)*I105*V105*'Processes'!J6*'Processes'!K6)</x:f>
        <x:v>0</x:v>
      </x:c>
      <x:c r="Q105" s="25" t="n">
        <x:f>IF('Setup'!$B$22&gt;0,"",Z105-AA105)</x:f>
        <x:v>668.1599999999999</x:v>
      </x:c>
      <x:c r="R105" s="22" t="n">
        <x:f>IF('Setup'!$B$22&gt;0,"",D105+E105)</x:f>
        <x:v>28</x:v>
      </x:c>
      <x:c r="S105" s="22" t="n">
        <x:f>IF('Setup'!$B$22&gt;0,"",'Processes'!M6)</x:f>
        <x:v>32</x:v>
      </x:c>
      <x:c r="T105" s="22" t="n">
        <x:f>IF('Setup'!$B$22&gt;0,"",MAX(0,R105-S105))</x:f>
        <x:v>0</x:v>
      </x:c>
      <x:c r="U105" s="22" t="n">
        <x:f>IF('Setup'!$B$22&gt;0,"",'Staffing'!F15)</x:f>
        <x:v>0</x:v>
      </x:c>
      <x:c r="V105" s="22" t="n">
        <x:f>IF('Setup'!$B$22&gt;0,"",MIN(U105,'Processes'!I6))</x:f>
        <x:v>0</x:v>
      </x:c>
      <x:c r="W105" s="22" t="n">
        <x:f>IF('Setup'!$B$22&gt;0,"",MAX(0,U105-V105))</x:f>
        <x:v>0</x:v>
      </x:c>
      <x:c r="X105" s="22" t="n">
        <x:f>IF('Setup'!$B$22&gt;0,"",I105*('Processes'!F6+V105*'Processes'!H6)*'Processes'!C6*'Setup'!D19/'Processes'!B6)</x:f>
        <x:v>254.475</x:v>
      </x:c>
      <x:c r="Y105" s="22" t="n">
        <x:f>IF('Setup'!$B$22&gt;0,"",H105*F105)</x:f>
        <x:v>4</x:v>
      </x:c>
      <x:c r="Z105" s="25" t="n">
        <x:f>IF('Setup'!$B$22&gt;0,"",O105+P105)</x:f>
        <x:v>4677.12</x:v>
      </x:c>
      <x:c r="AA105" s="25" t="n">
        <x:f>IF('Setup'!$B$22&gt;0,"",'Processes'!D6*I105*'Processes'!E6*'Processes'!J6)</x:f>
        <x:v>4008.96</x:v>
      </x:c>
    </x:row>
    <x:row r="106" ht="23" customHeight="1">
      <x:c r="A106" s="1" t="str">
        <x:v>Disruption</x:v>
      </x:c>
      <x:c r="B106" s="1" t="n">
        <x:v>10</x:v>
      </x:c>
      <x:c r="C106" s="1" t="str">
        <x:f>'Processes'!A7</x:f>
        <x:v>Pack</x:v>
      </x:c>
      <x:c r="D106" s="22" t="n">
        <x:f>IF('Setup'!$B$22&gt;0,"",'Staffing'!D15)</x:f>
        <x:v>18</x:v>
      </x:c>
      <x:c r="E106" s="22" t="n">
        <x:f>IF('Setup'!$B$22&gt;0,"",IF(B106&gt;='Processes'!N7,'Processes'!O7,0))</x:f>
        <x:v>4</x:v>
      </x:c>
      <x:c r="F106" s="23" t="n">
        <x:f>IF('Setup'!$B$22&gt;0,"",IF(E106=0,0,INDEX('Setup'!$B$9:$B$13,MIN(5,B106-'Processes'!N7+1))))</x:f>
        <x:v>1</x:v>
      </x:c>
      <x:c r="G106" s="22" t="n">
        <x:f>IF('Setup'!$B$22&gt;0,"",MIN(D106,'Processes'!M7))</x:f>
        <x:v>18</x:v>
      </x:c>
      <x:c r="H106" s="22" t="n">
        <x:f>IF('Setup'!$B$22&gt;0,"",MIN(E106,MAX(0,'Processes'!M7-G106)))</x:f>
        <x:v>4</x:v>
      </x:c>
      <x:c r="I106" s="23" t="n">
        <x:f>IF('Setup'!$B$22&gt;0,"",1-'Processes'!G7-'Setup'!C19)</x:f>
        <x:v>0.87</x:v>
      </x:c>
      <x:c r="J106" s="22" t="n">
        <x:f>IF('Setup'!$B$22&gt;0,"",(G106+H106*F106)*I106*'Processes'!F7)</x:f>
        <x:v>124.41</x:v>
      </x:c>
      <x:c r="K106" s="22" t="n">
        <x:f>IF('Setup'!$B$22&gt;0,"",(G106+H106*F106)*I106*V106*'Processes'!H7)</x:f>
        <x:v>0</x:v>
      </x:c>
      <x:c r="L106" s="22" t="n">
        <x:f>IF('Setup'!$B$22&gt;0,"",(J106+K106)*'Processes'!C7*'Setup'!D19/'Processes'!B7)</x:f>
        <x:v>6718.139999999999</x:v>
      </x:c>
      <x:c r="M106" s="22" t="n">
        <x:f>IF('Setup'!$B$22&gt;0,"",'Processes'!L7*'Setup'!E19)</x:f>
        <x:v>7650</x:v>
      </x:c>
      <x:c r="N106" s="24" t="n">
        <x:f>IF('Setup'!$B$22&gt;0,"",INT(MIN(L106,M106)))</x:f>
        <x:v>6718</x:v>
      </x:c>
      <x:c r="O106" s="25" t="n">
        <x:f>IF('Setup'!$B$22&gt;0,"",(D106+E106)*I106*'Processes'!E7*'Processes'!J7)</x:f>
        <x:v>3674.88</x:v>
      </x:c>
      <x:c r="P106" s="25" t="n">
        <x:f>IF('Setup'!$B$22&gt;0,"",(D106+E106)*I106*V106*'Processes'!J7*'Processes'!K7)</x:f>
        <x:v>0</x:v>
      </x:c>
      <x:c r="Q106" s="25" t="n">
        <x:f>IF('Setup'!$B$22&gt;0,"",Z106-AA106)</x:f>
        <x:v>668.1599999999999</x:v>
      </x:c>
      <x:c r="R106" s="22" t="n">
        <x:f>IF('Setup'!$B$22&gt;0,"",D106+E106)</x:f>
        <x:v>22</x:v>
      </x:c>
      <x:c r="S106" s="22" t="n">
        <x:f>IF('Setup'!$B$22&gt;0,"",'Processes'!M7)</x:f>
        <x:v>26</x:v>
      </x:c>
      <x:c r="T106" s="22" t="n">
        <x:f>IF('Setup'!$B$22&gt;0,"",MAX(0,R106-S106))</x:f>
        <x:v>0</x:v>
      </x:c>
      <x:c r="U106" s="22" t="n">
        <x:f>IF('Setup'!$B$22&gt;0,"",'Staffing'!G15)</x:f>
        <x:v>0</x:v>
      </x:c>
      <x:c r="V106" s="22" t="n">
        <x:f>IF('Setup'!$B$22&gt;0,"",MIN(U106,'Processes'!I7))</x:f>
        <x:v>0</x:v>
      </x:c>
      <x:c r="W106" s="22" t="n">
        <x:f>IF('Setup'!$B$22&gt;0,"",MAX(0,U106-V106))</x:f>
        <x:v>0</x:v>
      </x:c>
      <x:c r="X106" s="22" t="n">
        <x:f>IF('Setup'!$B$22&gt;0,"",I106*('Processes'!F7+V106*'Processes'!H7)*'Processes'!C7*'Setup'!D19/'Processes'!B7)</x:f>
        <x:v>305.37</x:v>
      </x:c>
      <x:c r="Y106" s="22" t="n">
        <x:f>IF('Setup'!$B$22&gt;0,"",H106*F106)</x:f>
        <x:v>4</x:v>
      </x:c>
      <x:c r="Z106" s="25" t="n">
        <x:f>IF('Setup'!$B$22&gt;0,"",O106+P106)</x:f>
        <x:v>3674.88</x:v>
      </x:c>
      <x:c r="AA106" s="25" t="n">
        <x:f>IF('Setup'!$B$22&gt;0,"",'Processes'!D7*I106*'Processes'!E7*'Processes'!J7)</x:f>
        <x:v>3006.7200000000003</x:v>
      </x:c>
    </x:row>
    <x:row r="107" ht="23" customHeight="1">
      <x:c r="A107" s="1" t="str">
        <x:v>Disruption</x:v>
      </x:c>
      <x:c r="B107" s="1" t="n">
        <x:v>10</x:v>
      </x:c>
      <x:c r="C107" s="1" t="str">
        <x:f>'Processes'!A8</x:f>
        <x:v>Ship</x:v>
      </x:c>
      <x:c r="D107" s="22" t="n">
        <x:f>IF('Setup'!$B$22&gt;0,"",'Staffing'!E15)</x:f>
        <x:v>10</x:v>
      </x:c>
      <x:c r="E107" s="22" t="n">
        <x:f>IF('Setup'!$B$22&gt;0,"",IF(B107&gt;='Processes'!N8,'Processes'!O8,0))</x:f>
        <x:v>3</x:v>
      </x:c>
      <x:c r="F107" s="23" t="n">
        <x:f>IF('Setup'!$B$22&gt;0,"",IF(E107=0,0,INDEX('Setup'!$B$9:$B$13,MIN(5,B107-'Processes'!N8+1))))</x:f>
        <x:v>1</x:v>
      </x:c>
      <x:c r="G107" s="22" t="n">
        <x:f>IF('Setup'!$B$22&gt;0,"",MIN(D107,'Processes'!M8))</x:f>
        <x:v>10</x:v>
      </x:c>
      <x:c r="H107" s="22" t="n">
        <x:f>IF('Setup'!$B$22&gt;0,"",MIN(E107,MAX(0,'Processes'!M8-G107)))</x:f>
        <x:v>3</x:v>
      </x:c>
      <x:c r="I107" s="23" t="n">
        <x:f>IF('Setup'!$B$22&gt;0,"",1-'Processes'!G8-'Setup'!C19)</x:f>
        <x:v>0.87</x:v>
      </x:c>
      <x:c r="J107" s="22" t="n">
        <x:f>IF('Setup'!$B$22&gt;0,"",(G107+H107*F107)*I107*'Processes'!F8)</x:f>
        <x:v>73.515</x:v>
      </x:c>
      <x:c r="K107" s="22" t="n">
        <x:f>IF('Setup'!$B$22&gt;0,"",(G107+H107*F107)*I107*V107*'Processes'!H8)</x:f>
        <x:v>0</x:v>
      </x:c>
      <x:c r="L107" s="22" t="n">
        <x:f>IF('Setup'!$B$22&gt;0,"",(J107+K107)*'Processes'!C8*'Setup'!D19/'Processes'!B8)</x:f>
        <x:v>6616.35</x:v>
      </x:c>
      <x:c r="M107" s="22" t="n">
        <x:f>IF('Setup'!$B$22&gt;0,"",'Processes'!L8*'Setup'!E19)</x:f>
        <x:v>6800</x:v>
      </x:c>
      <x:c r="N107" s="24" t="n">
        <x:f>IF('Setup'!$B$22&gt;0,"",INT(MIN(L107,M107)))</x:f>
        <x:v>6616</x:v>
      </x:c>
      <x:c r="O107" s="25" t="n">
        <x:f>IF('Setup'!$B$22&gt;0,"",(D107+E107)*I107*'Processes'!E8*'Processes'!J8)</x:f>
        <x:v>2352.48</x:v>
      </x:c>
      <x:c r="P107" s="25" t="n">
        <x:f>IF('Setup'!$B$22&gt;0,"",(D107+E107)*I107*V107*'Processes'!J8*'Processes'!K8)</x:f>
        <x:v>0</x:v>
      </x:c>
      <x:c r="Q107" s="25" t="n">
        <x:f>IF('Setup'!$B$22&gt;0,"",Z107-AA107)</x:f>
        <x:v>542.8800000000001</x:v>
      </x:c>
      <x:c r="R107" s="22" t="n">
        <x:f>IF('Setup'!$B$22&gt;0,"",D107+E107)</x:f>
        <x:v>13</x:v>
      </x:c>
      <x:c r="S107" s="22" t="n">
        <x:f>IF('Setup'!$B$22&gt;0,"",'Processes'!M8)</x:f>
        <x:v>16</x:v>
      </x:c>
      <x:c r="T107" s="22" t="n">
        <x:f>IF('Setup'!$B$22&gt;0,"",MAX(0,R107-S107))</x:f>
        <x:v>0</x:v>
      </x:c>
      <x:c r="U107" s="22" t="n">
        <x:f>IF('Setup'!$B$22&gt;0,"",'Staffing'!H15)</x:f>
        <x:v>0</x:v>
      </x:c>
      <x:c r="V107" s="22" t="n">
        <x:f>IF('Setup'!$B$22&gt;0,"",MIN(U107,'Processes'!I8))</x:f>
        <x:v>0</x:v>
      </x:c>
      <x:c r="W107" s="22" t="n">
        <x:f>IF('Setup'!$B$22&gt;0,"",MAX(0,U107-V107))</x:f>
        <x:v>0</x:v>
      </x:c>
      <x:c r="X107" s="22" t="n">
        <x:f>IF('Setup'!$B$22&gt;0,"",I107*('Processes'!F8+V107*'Processes'!H8)*'Processes'!C8*'Setup'!D19/'Processes'!B8)</x:f>
        <x:v>508.95</x:v>
      </x:c>
      <x:c r="Y107" s="22" t="n">
        <x:f>IF('Setup'!$B$22&gt;0,"",H107*F107)</x:f>
        <x:v>3</x:v>
      </x:c>
      <x:c r="Z107" s="25" t="n">
        <x:f>IF('Setup'!$B$22&gt;0,"",O107+P107)</x:f>
        <x:v>2352.48</x:v>
      </x:c>
      <x:c r="AA107" s="25" t="n">
        <x:f>IF('Setup'!$B$22&gt;0,"",'Processes'!D8*I107*'Processes'!E8*'Processes'!J8)</x:f>
        <x:v>1809.6</x:v>
      </x:c>
    </x:row>
    <x:row r="108" ht="23" customHeight="1">
      <x:c r="A108" s="1" t="str">
        <x:v>Disruption</x:v>
      </x:c>
      <x:c r="B108" s="1" t="n">
        <x:v>11</x:v>
      </x:c>
      <x:c r="C108" s="1" t="str">
        <x:f>'Processes'!A6</x:f>
        <x:v>Pick</x:v>
      </x:c>
      <x:c r="D108" s="22" t="n">
        <x:f>IF('Setup'!$B$22&gt;0,"",'Staffing'!C16)</x:f>
        <x:v>24</x:v>
      </x:c>
      <x:c r="E108" s="22" t="n">
        <x:f>IF('Setup'!$B$22&gt;0,"",IF(B108&gt;='Processes'!N6,'Processes'!O6,0))</x:f>
        <x:v>4</x:v>
      </x:c>
      <x:c r="F108" s="23" t="n">
        <x:f>IF('Setup'!$B$22&gt;0,"",IF(E108=0,0,INDEX('Setup'!$B$9:$B$13,MIN(5,B108-'Processes'!N6+1))))</x:f>
        <x:v>1</x:v>
      </x:c>
      <x:c r="G108" s="22" t="n">
        <x:f>IF('Setup'!$B$22&gt;0,"",MIN(D108,'Processes'!M6))</x:f>
        <x:v>24</x:v>
      </x:c>
      <x:c r="H108" s="22" t="n">
        <x:f>IF('Setup'!$B$22&gt;0,"",MIN(E108,MAX(0,'Processes'!M6-G108)))</x:f>
        <x:v>4</x:v>
      </x:c>
      <x:c r="I108" s="23" t="n">
        <x:f>IF('Setup'!$B$22&gt;0,"",1-'Processes'!G6-'Setup'!C19)</x:f>
        <x:v>0.87</x:v>
      </x:c>
      <x:c r="J108" s="22" t="n">
        <x:f>IF('Setup'!$B$22&gt;0,"",(G108+H108*F108)*I108*'Processes'!F6)</x:f>
        <x:v>158.34</x:v>
      </x:c>
      <x:c r="K108" s="22" t="n">
        <x:f>IF('Setup'!$B$22&gt;0,"",(G108+H108*F108)*I108*V108*'Processes'!H6)</x:f>
        <x:v>0</x:v>
      </x:c>
      <x:c r="L108" s="22" t="n">
        <x:f>IF('Setup'!$B$22&gt;0,"",(J108+K108)*'Processes'!C6*'Setup'!D19/'Processes'!B6)</x:f>
        <x:v>7125.3</x:v>
      </x:c>
      <x:c r="M108" s="22" t="n">
        <x:f>IF('Setup'!$B$22&gt;0,"",'Processes'!L6*'Setup'!E19)</x:f>
        <x:v>8500</x:v>
      </x:c>
      <x:c r="N108" s="24" t="n">
        <x:f>IF('Setup'!$B$22&gt;0,"",INT(MIN(L108,M108)))</x:f>
        <x:v>7125</x:v>
      </x:c>
      <x:c r="O108" s="25" t="n">
        <x:f>IF('Setup'!$B$22&gt;0,"",(D108+E108)*I108*'Processes'!E6*'Processes'!J6)</x:f>
        <x:v>4677.12</x:v>
      </x:c>
      <x:c r="P108" s="25" t="n">
        <x:f>IF('Setup'!$B$22&gt;0,"",(D108+E108)*I108*V108*'Processes'!J6*'Processes'!K6)</x:f>
        <x:v>0</x:v>
      </x:c>
      <x:c r="Q108" s="25" t="n">
        <x:f>IF('Setup'!$B$22&gt;0,"",Z108-AA108)</x:f>
        <x:v>668.1599999999999</x:v>
      </x:c>
      <x:c r="R108" s="22" t="n">
        <x:f>IF('Setup'!$B$22&gt;0,"",D108+E108)</x:f>
        <x:v>28</x:v>
      </x:c>
      <x:c r="S108" s="22" t="n">
        <x:f>IF('Setup'!$B$22&gt;0,"",'Processes'!M6)</x:f>
        <x:v>32</x:v>
      </x:c>
      <x:c r="T108" s="22" t="n">
        <x:f>IF('Setup'!$B$22&gt;0,"",MAX(0,R108-S108))</x:f>
        <x:v>0</x:v>
      </x:c>
      <x:c r="U108" s="22" t="n">
        <x:f>IF('Setup'!$B$22&gt;0,"",'Staffing'!F16)</x:f>
        <x:v>0</x:v>
      </x:c>
      <x:c r="V108" s="22" t="n">
        <x:f>IF('Setup'!$B$22&gt;0,"",MIN(U108,'Processes'!I6))</x:f>
        <x:v>0</x:v>
      </x:c>
      <x:c r="W108" s="22" t="n">
        <x:f>IF('Setup'!$B$22&gt;0,"",MAX(0,U108-V108))</x:f>
        <x:v>0</x:v>
      </x:c>
      <x:c r="X108" s="22" t="n">
        <x:f>IF('Setup'!$B$22&gt;0,"",I108*('Processes'!F6+V108*'Processes'!H6)*'Processes'!C6*'Setup'!D19/'Processes'!B6)</x:f>
        <x:v>254.475</x:v>
      </x:c>
      <x:c r="Y108" s="22" t="n">
        <x:f>IF('Setup'!$B$22&gt;0,"",H108*F108)</x:f>
        <x:v>4</x:v>
      </x:c>
      <x:c r="Z108" s="25" t="n">
        <x:f>IF('Setup'!$B$22&gt;0,"",O108+P108)</x:f>
        <x:v>4677.12</x:v>
      </x:c>
      <x:c r="AA108" s="25" t="n">
        <x:f>IF('Setup'!$B$22&gt;0,"",'Processes'!D6*I108*'Processes'!E6*'Processes'!J6)</x:f>
        <x:v>4008.96</x:v>
      </x:c>
    </x:row>
    <x:row r="109" ht="23" customHeight="1">
      <x:c r="A109" s="1" t="str">
        <x:v>Disruption</x:v>
      </x:c>
      <x:c r="B109" s="1" t="n">
        <x:v>11</x:v>
      </x:c>
      <x:c r="C109" s="1" t="str">
        <x:f>'Processes'!A7</x:f>
        <x:v>Pack</x:v>
      </x:c>
      <x:c r="D109" s="22" t="n">
        <x:f>IF('Setup'!$B$22&gt;0,"",'Staffing'!D16)</x:f>
        <x:v>18</x:v>
      </x:c>
      <x:c r="E109" s="22" t="n">
        <x:f>IF('Setup'!$B$22&gt;0,"",IF(B109&gt;='Processes'!N7,'Processes'!O7,0))</x:f>
        <x:v>4</x:v>
      </x:c>
      <x:c r="F109" s="23" t="n">
        <x:f>IF('Setup'!$B$22&gt;0,"",IF(E109=0,0,INDEX('Setup'!$B$9:$B$13,MIN(5,B109-'Processes'!N7+1))))</x:f>
        <x:v>1</x:v>
      </x:c>
      <x:c r="G109" s="22" t="n">
        <x:f>IF('Setup'!$B$22&gt;0,"",MIN(D109,'Processes'!M7))</x:f>
        <x:v>18</x:v>
      </x:c>
      <x:c r="H109" s="22" t="n">
        <x:f>IF('Setup'!$B$22&gt;0,"",MIN(E109,MAX(0,'Processes'!M7-G109)))</x:f>
        <x:v>4</x:v>
      </x:c>
      <x:c r="I109" s="23" t="n">
        <x:f>IF('Setup'!$B$22&gt;0,"",1-'Processes'!G7-'Setup'!C19)</x:f>
        <x:v>0.87</x:v>
      </x:c>
      <x:c r="J109" s="22" t="n">
        <x:f>IF('Setup'!$B$22&gt;0,"",(G109+H109*F109)*I109*'Processes'!F7)</x:f>
        <x:v>124.41</x:v>
      </x:c>
      <x:c r="K109" s="22" t="n">
        <x:f>IF('Setup'!$B$22&gt;0,"",(G109+H109*F109)*I109*V109*'Processes'!H7)</x:f>
        <x:v>0</x:v>
      </x:c>
      <x:c r="L109" s="22" t="n">
        <x:f>IF('Setup'!$B$22&gt;0,"",(J109+K109)*'Processes'!C7*'Setup'!D19/'Processes'!B7)</x:f>
        <x:v>6718.139999999999</x:v>
      </x:c>
      <x:c r="M109" s="22" t="n">
        <x:f>IF('Setup'!$B$22&gt;0,"",'Processes'!L7*'Setup'!E19)</x:f>
        <x:v>7650</x:v>
      </x:c>
      <x:c r="N109" s="24" t="n">
        <x:f>IF('Setup'!$B$22&gt;0,"",INT(MIN(L109,M109)))</x:f>
        <x:v>6718</x:v>
      </x:c>
      <x:c r="O109" s="25" t="n">
        <x:f>IF('Setup'!$B$22&gt;0,"",(D109+E109)*I109*'Processes'!E7*'Processes'!J7)</x:f>
        <x:v>3674.88</x:v>
      </x:c>
      <x:c r="P109" s="25" t="n">
        <x:f>IF('Setup'!$B$22&gt;0,"",(D109+E109)*I109*V109*'Processes'!J7*'Processes'!K7)</x:f>
        <x:v>0</x:v>
      </x:c>
      <x:c r="Q109" s="25" t="n">
        <x:f>IF('Setup'!$B$22&gt;0,"",Z109-AA109)</x:f>
        <x:v>668.1599999999999</x:v>
      </x:c>
      <x:c r="R109" s="22" t="n">
        <x:f>IF('Setup'!$B$22&gt;0,"",D109+E109)</x:f>
        <x:v>22</x:v>
      </x:c>
      <x:c r="S109" s="22" t="n">
        <x:f>IF('Setup'!$B$22&gt;0,"",'Processes'!M7)</x:f>
        <x:v>26</x:v>
      </x:c>
      <x:c r="T109" s="22" t="n">
        <x:f>IF('Setup'!$B$22&gt;0,"",MAX(0,R109-S109))</x:f>
        <x:v>0</x:v>
      </x:c>
      <x:c r="U109" s="22" t="n">
        <x:f>IF('Setup'!$B$22&gt;0,"",'Staffing'!G16)</x:f>
        <x:v>0</x:v>
      </x:c>
      <x:c r="V109" s="22" t="n">
        <x:f>IF('Setup'!$B$22&gt;0,"",MIN(U109,'Processes'!I7))</x:f>
        <x:v>0</x:v>
      </x:c>
      <x:c r="W109" s="22" t="n">
        <x:f>IF('Setup'!$B$22&gt;0,"",MAX(0,U109-V109))</x:f>
        <x:v>0</x:v>
      </x:c>
      <x:c r="X109" s="22" t="n">
        <x:f>IF('Setup'!$B$22&gt;0,"",I109*('Processes'!F7+V109*'Processes'!H7)*'Processes'!C7*'Setup'!D19/'Processes'!B7)</x:f>
        <x:v>305.37</x:v>
      </x:c>
      <x:c r="Y109" s="22" t="n">
        <x:f>IF('Setup'!$B$22&gt;0,"",H109*F109)</x:f>
        <x:v>4</x:v>
      </x:c>
      <x:c r="Z109" s="25" t="n">
        <x:f>IF('Setup'!$B$22&gt;0,"",O109+P109)</x:f>
        <x:v>3674.88</x:v>
      </x:c>
      <x:c r="AA109" s="25" t="n">
        <x:f>IF('Setup'!$B$22&gt;0,"",'Processes'!D7*I109*'Processes'!E7*'Processes'!J7)</x:f>
        <x:v>3006.7200000000003</x:v>
      </x:c>
    </x:row>
    <x:row r="110" ht="23" customHeight="1">
      <x:c r="A110" s="1" t="str">
        <x:v>Disruption</x:v>
      </x:c>
      <x:c r="B110" s="1" t="n">
        <x:v>11</x:v>
      </x:c>
      <x:c r="C110" s="1" t="str">
        <x:f>'Processes'!A8</x:f>
        <x:v>Ship</x:v>
      </x:c>
      <x:c r="D110" s="22" t="n">
        <x:f>IF('Setup'!$B$22&gt;0,"",'Staffing'!E16)</x:f>
        <x:v>10</x:v>
      </x:c>
      <x:c r="E110" s="22" t="n">
        <x:f>IF('Setup'!$B$22&gt;0,"",IF(B110&gt;='Processes'!N8,'Processes'!O8,0))</x:f>
        <x:v>3</x:v>
      </x:c>
      <x:c r="F110" s="23" t="n">
        <x:f>IF('Setup'!$B$22&gt;0,"",IF(E110=0,0,INDEX('Setup'!$B$9:$B$13,MIN(5,B110-'Processes'!N8+1))))</x:f>
        <x:v>1</x:v>
      </x:c>
      <x:c r="G110" s="22" t="n">
        <x:f>IF('Setup'!$B$22&gt;0,"",MIN(D110,'Processes'!M8))</x:f>
        <x:v>10</x:v>
      </x:c>
      <x:c r="H110" s="22" t="n">
        <x:f>IF('Setup'!$B$22&gt;0,"",MIN(E110,MAX(0,'Processes'!M8-G110)))</x:f>
        <x:v>3</x:v>
      </x:c>
      <x:c r="I110" s="23" t="n">
        <x:f>IF('Setup'!$B$22&gt;0,"",1-'Processes'!G8-'Setup'!C19)</x:f>
        <x:v>0.87</x:v>
      </x:c>
      <x:c r="J110" s="22" t="n">
        <x:f>IF('Setup'!$B$22&gt;0,"",(G110+H110*F110)*I110*'Processes'!F8)</x:f>
        <x:v>73.515</x:v>
      </x:c>
      <x:c r="K110" s="22" t="n">
        <x:f>IF('Setup'!$B$22&gt;0,"",(G110+H110*F110)*I110*V110*'Processes'!H8)</x:f>
        <x:v>0</x:v>
      </x:c>
      <x:c r="L110" s="22" t="n">
        <x:f>IF('Setup'!$B$22&gt;0,"",(J110+K110)*'Processes'!C8*'Setup'!D19/'Processes'!B8)</x:f>
        <x:v>6616.35</x:v>
      </x:c>
      <x:c r="M110" s="22" t="n">
        <x:f>IF('Setup'!$B$22&gt;0,"",'Processes'!L8*'Setup'!E19)</x:f>
        <x:v>6800</x:v>
      </x:c>
      <x:c r="N110" s="24" t="n">
        <x:f>IF('Setup'!$B$22&gt;0,"",INT(MIN(L110,M110)))</x:f>
        <x:v>6616</x:v>
      </x:c>
      <x:c r="O110" s="25" t="n">
        <x:f>IF('Setup'!$B$22&gt;0,"",(D110+E110)*I110*'Processes'!E8*'Processes'!J8)</x:f>
        <x:v>2352.48</x:v>
      </x:c>
      <x:c r="P110" s="25" t="n">
        <x:f>IF('Setup'!$B$22&gt;0,"",(D110+E110)*I110*V110*'Processes'!J8*'Processes'!K8)</x:f>
        <x:v>0</x:v>
      </x:c>
      <x:c r="Q110" s="25" t="n">
        <x:f>IF('Setup'!$B$22&gt;0,"",Z110-AA110)</x:f>
        <x:v>542.8800000000001</x:v>
      </x:c>
      <x:c r="R110" s="22" t="n">
        <x:f>IF('Setup'!$B$22&gt;0,"",D110+E110)</x:f>
        <x:v>13</x:v>
      </x:c>
      <x:c r="S110" s="22" t="n">
        <x:f>IF('Setup'!$B$22&gt;0,"",'Processes'!M8)</x:f>
        <x:v>16</x:v>
      </x:c>
      <x:c r="T110" s="22" t="n">
        <x:f>IF('Setup'!$B$22&gt;0,"",MAX(0,R110-S110))</x:f>
        <x:v>0</x:v>
      </x:c>
      <x:c r="U110" s="22" t="n">
        <x:f>IF('Setup'!$B$22&gt;0,"",'Staffing'!H16)</x:f>
        <x:v>0</x:v>
      </x:c>
      <x:c r="V110" s="22" t="n">
        <x:f>IF('Setup'!$B$22&gt;0,"",MIN(U110,'Processes'!I8))</x:f>
        <x:v>0</x:v>
      </x:c>
      <x:c r="W110" s="22" t="n">
        <x:f>IF('Setup'!$B$22&gt;0,"",MAX(0,U110-V110))</x:f>
        <x:v>0</x:v>
      </x:c>
      <x:c r="X110" s="22" t="n">
        <x:f>IF('Setup'!$B$22&gt;0,"",I110*('Processes'!F8+V110*'Processes'!H8)*'Processes'!C8*'Setup'!D19/'Processes'!B8)</x:f>
        <x:v>508.95</x:v>
      </x:c>
      <x:c r="Y110" s="22" t="n">
        <x:f>IF('Setup'!$B$22&gt;0,"",H110*F110)</x:f>
        <x:v>3</x:v>
      </x:c>
      <x:c r="Z110" s="25" t="n">
        <x:f>IF('Setup'!$B$22&gt;0,"",O110+P110)</x:f>
        <x:v>2352.48</x:v>
      </x:c>
      <x:c r="AA110" s="25" t="n">
        <x:f>IF('Setup'!$B$22&gt;0,"",'Processes'!D8*I110*'Processes'!E8*'Processes'!J8)</x:f>
        <x:v>1809.6</x:v>
      </x:c>
    </x:row>
    <x:row r="111" ht="23" customHeight="1">
      <x:c r="A111" s="1" t="str">
        <x:v>Disruption</x:v>
      </x:c>
      <x:c r="B111" s="1" t="n">
        <x:v>12</x:v>
      </x:c>
      <x:c r="C111" s="1" t="str">
        <x:f>'Processes'!A6</x:f>
        <x:v>Pick</x:v>
      </x:c>
      <x:c r="D111" s="22" t="n">
        <x:f>IF('Setup'!$B$22&gt;0,"",'Staffing'!C17)</x:f>
        <x:v>24</x:v>
      </x:c>
      <x:c r="E111" s="22" t="n">
        <x:f>IF('Setup'!$B$22&gt;0,"",IF(B111&gt;='Processes'!N6,'Processes'!O6,0))</x:f>
        <x:v>4</x:v>
      </x:c>
      <x:c r="F111" s="23" t="n">
        <x:f>IF('Setup'!$B$22&gt;0,"",IF(E111=0,0,INDEX('Setup'!$B$9:$B$13,MIN(5,B111-'Processes'!N6+1))))</x:f>
        <x:v>1</x:v>
      </x:c>
      <x:c r="G111" s="22" t="n">
        <x:f>IF('Setup'!$B$22&gt;0,"",MIN(D111,'Processes'!M6))</x:f>
        <x:v>24</x:v>
      </x:c>
      <x:c r="H111" s="22" t="n">
        <x:f>IF('Setup'!$B$22&gt;0,"",MIN(E111,MAX(0,'Processes'!M6-G111)))</x:f>
        <x:v>4</x:v>
      </x:c>
      <x:c r="I111" s="23" t="n">
        <x:f>IF('Setup'!$B$22&gt;0,"",1-'Processes'!G6-'Setup'!C19)</x:f>
        <x:v>0.87</x:v>
      </x:c>
      <x:c r="J111" s="22" t="n">
        <x:f>IF('Setup'!$B$22&gt;0,"",(G111+H111*F111)*I111*'Processes'!F6)</x:f>
        <x:v>158.34</x:v>
      </x:c>
      <x:c r="K111" s="22" t="n">
        <x:f>IF('Setup'!$B$22&gt;0,"",(G111+H111*F111)*I111*V111*'Processes'!H6)</x:f>
        <x:v>0</x:v>
      </x:c>
      <x:c r="L111" s="22" t="n">
        <x:f>IF('Setup'!$B$22&gt;0,"",(J111+K111)*'Processes'!C6*'Setup'!D19/'Processes'!B6)</x:f>
        <x:v>7125.3</x:v>
      </x:c>
      <x:c r="M111" s="22" t="n">
        <x:f>IF('Setup'!$B$22&gt;0,"",'Processes'!L6*'Setup'!E19)</x:f>
        <x:v>8500</x:v>
      </x:c>
      <x:c r="N111" s="24" t="n">
        <x:f>IF('Setup'!$B$22&gt;0,"",INT(MIN(L111,M111)))</x:f>
        <x:v>7125</x:v>
      </x:c>
      <x:c r="O111" s="25" t="n">
        <x:f>IF('Setup'!$B$22&gt;0,"",(D111+E111)*I111*'Processes'!E6*'Processes'!J6)</x:f>
        <x:v>4677.12</x:v>
      </x:c>
      <x:c r="P111" s="25" t="n">
        <x:f>IF('Setup'!$B$22&gt;0,"",(D111+E111)*I111*V111*'Processes'!J6*'Processes'!K6)</x:f>
        <x:v>0</x:v>
      </x:c>
      <x:c r="Q111" s="25" t="n">
        <x:f>IF('Setup'!$B$22&gt;0,"",Z111-AA111)</x:f>
        <x:v>668.1599999999999</x:v>
      </x:c>
      <x:c r="R111" s="22" t="n">
        <x:f>IF('Setup'!$B$22&gt;0,"",D111+E111)</x:f>
        <x:v>28</x:v>
      </x:c>
      <x:c r="S111" s="22" t="n">
        <x:f>IF('Setup'!$B$22&gt;0,"",'Processes'!M6)</x:f>
        <x:v>32</x:v>
      </x:c>
      <x:c r="T111" s="22" t="n">
        <x:f>IF('Setup'!$B$22&gt;0,"",MAX(0,R111-S111))</x:f>
        <x:v>0</x:v>
      </x:c>
      <x:c r="U111" s="22" t="n">
        <x:f>IF('Setup'!$B$22&gt;0,"",'Staffing'!F17)</x:f>
        <x:v>0</x:v>
      </x:c>
      <x:c r="V111" s="22" t="n">
        <x:f>IF('Setup'!$B$22&gt;0,"",MIN(U111,'Processes'!I6))</x:f>
        <x:v>0</x:v>
      </x:c>
      <x:c r="W111" s="22" t="n">
        <x:f>IF('Setup'!$B$22&gt;0,"",MAX(0,U111-V111))</x:f>
        <x:v>0</x:v>
      </x:c>
      <x:c r="X111" s="22" t="n">
        <x:f>IF('Setup'!$B$22&gt;0,"",I111*('Processes'!F6+V111*'Processes'!H6)*'Processes'!C6*'Setup'!D19/'Processes'!B6)</x:f>
        <x:v>254.475</x:v>
      </x:c>
      <x:c r="Y111" s="22" t="n">
        <x:f>IF('Setup'!$B$22&gt;0,"",H111*F111)</x:f>
        <x:v>4</x:v>
      </x:c>
      <x:c r="Z111" s="25" t="n">
        <x:f>IF('Setup'!$B$22&gt;0,"",O111+P111)</x:f>
        <x:v>4677.12</x:v>
      </x:c>
      <x:c r="AA111" s="25" t="n">
        <x:f>IF('Setup'!$B$22&gt;0,"",'Processes'!D6*I111*'Processes'!E6*'Processes'!J6)</x:f>
        <x:v>4008.96</x:v>
      </x:c>
    </x:row>
    <x:row r="112" ht="23" customHeight="1">
      <x:c r="A112" s="1" t="str">
        <x:v>Disruption</x:v>
      </x:c>
      <x:c r="B112" s="1" t="n">
        <x:v>12</x:v>
      </x:c>
      <x:c r="C112" s="1" t="str">
        <x:f>'Processes'!A7</x:f>
        <x:v>Pack</x:v>
      </x:c>
      <x:c r="D112" s="22" t="n">
        <x:f>IF('Setup'!$B$22&gt;0,"",'Staffing'!D17)</x:f>
        <x:v>18</x:v>
      </x:c>
      <x:c r="E112" s="22" t="n">
        <x:f>IF('Setup'!$B$22&gt;0,"",IF(B112&gt;='Processes'!N7,'Processes'!O7,0))</x:f>
        <x:v>4</x:v>
      </x:c>
      <x:c r="F112" s="23" t="n">
        <x:f>IF('Setup'!$B$22&gt;0,"",IF(E112=0,0,INDEX('Setup'!$B$9:$B$13,MIN(5,B112-'Processes'!N7+1))))</x:f>
        <x:v>1</x:v>
      </x:c>
      <x:c r="G112" s="22" t="n">
        <x:f>IF('Setup'!$B$22&gt;0,"",MIN(D112,'Processes'!M7))</x:f>
        <x:v>18</x:v>
      </x:c>
      <x:c r="H112" s="22" t="n">
        <x:f>IF('Setup'!$B$22&gt;0,"",MIN(E112,MAX(0,'Processes'!M7-G112)))</x:f>
        <x:v>4</x:v>
      </x:c>
      <x:c r="I112" s="23" t="n">
        <x:f>IF('Setup'!$B$22&gt;0,"",1-'Processes'!G7-'Setup'!C19)</x:f>
        <x:v>0.87</x:v>
      </x:c>
      <x:c r="J112" s="22" t="n">
        <x:f>IF('Setup'!$B$22&gt;0,"",(G112+H112*F112)*I112*'Processes'!F7)</x:f>
        <x:v>124.41</x:v>
      </x:c>
      <x:c r="K112" s="22" t="n">
        <x:f>IF('Setup'!$B$22&gt;0,"",(G112+H112*F112)*I112*V112*'Processes'!H7)</x:f>
        <x:v>0</x:v>
      </x:c>
      <x:c r="L112" s="22" t="n">
        <x:f>IF('Setup'!$B$22&gt;0,"",(J112+K112)*'Processes'!C7*'Setup'!D19/'Processes'!B7)</x:f>
        <x:v>6718.139999999999</x:v>
      </x:c>
      <x:c r="M112" s="22" t="n">
        <x:f>IF('Setup'!$B$22&gt;0,"",'Processes'!L7*'Setup'!E19)</x:f>
        <x:v>7650</x:v>
      </x:c>
      <x:c r="N112" s="24" t="n">
        <x:f>IF('Setup'!$B$22&gt;0,"",INT(MIN(L112,M112)))</x:f>
        <x:v>6718</x:v>
      </x:c>
      <x:c r="O112" s="25" t="n">
        <x:f>IF('Setup'!$B$22&gt;0,"",(D112+E112)*I112*'Processes'!E7*'Processes'!J7)</x:f>
        <x:v>3674.88</x:v>
      </x:c>
      <x:c r="P112" s="25" t="n">
        <x:f>IF('Setup'!$B$22&gt;0,"",(D112+E112)*I112*V112*'Processes'!J7*'Processes'!K7)</x:f>
        <x:v>0</x:v>
      </x:c>
      <x:c r="Q112" s="25" t="n">
        <x:f>IF('Setup'!$B$22&gt;0,"",Z112-AA112)</x:f>
        <x:v>668.1599999999999</x:v>
      </x:c>
      <x:c r="R112" s="22" t="n">
        <x:f>IF('Setup'!$B$22&gt;0,"",D112+E112)</x:f>
        <x:v>22</x:v>
      </x:c>
      <x:c r="S112" s="22" t="n">
        <x:f>IF('Setup'!$B$22&gt;0,"",'Processes'!M7)</x:f>
        <x:v>26</x:v>
      </x:c>
      <x:c r="T112" s="22" t="n">
        <x:f>IF('Setup'!$B$22&gt;0,"",MAX(0,R112-S112))</x:f>
        <x:v>0</x:v>
      </x:c>
      <x:c r="U112" s="22" t="n">
        <x:f>IF('Setup'!$B$22&gt;0,"",'Staffing'!G17)</x:f>
        <x:v>0</x:v>
      </x:c>
      <x:c r="V112" s="22" t="n">
        <x:f>IF('Setup'!$B$22&gt;0,"",MIN(U112,'Processes'!I7))</x:f>
        <x:v>0</x:v>
      </x:c>
      <x:c r="W112" s="22" t="n">
        <x:f>IF('Setup'!$B$22&gt;0,"",MAX(0,U112-V112))</x:f>
        <x:v>0</x:v>
      </x:c>
      <x:c r="X112" s="22" t="n">
        <x:f>IF('Setup'!$B$22&gt;0,"",I112*('Processes'!F7+V112*'Processes'!H7)*'Processes'!C7*'Setup'!D19/'Processes'!B7)</x:f>
        <x:v>305.37</x:v>
      </x:c>
      <x:c r="Y112" s="22" t="n">
        <x:f>IF('Setup'!$B$22&gt;0,"",H112*F112)</x:f>
        <x:v>4</x:v>
      </x:c>
      <x:c r="Z112" s="25" t="n">
        <x:f>IF('Setup'!$B$22&gt;0,"",O112+P112)</x:f>
        <x:v>3674.88</x:v>
      </x:c>
      <x:c r="AA112" s="25" t="n">
        <x:f>IF('Setup'!$B$22&gt;0,"",'Processes'!D7*I112*'Processes'!E7*'Processes'!J7)</x:f>
        <x:v>3006.7200000000003</x:v>
      </x:c>
    </x:row>
    <x:row r="113" ht="23" customHeight="1">
      <x:c r="A113" s="1" t="str">
        <x:v>Disruption</x:v>
      </x:c>
      <x:c r="B113" s="1" t="n">
        <x:v>12</x:v>
      </x:c>
      <x:c r="C113" s="1" t="str">
        <x:f>'Processes'!A8</x:f>
        <x:v>Ship</x:v>
      </x:c>
      <x:c r="D113" s="22" t="n">
        <x:f>IF('Setup'!$B$22&gt;0,"",'Staffing'!E17)</x:f>
        <x:v>10</x:v>
      </x:c>
      <x:c r="E113" s="22" t="n">
        <x:f>IF('Setup'!$B$22&gt;0,"",IF(B113&gt;='Processes'!N8,'Processes'!O8,0))</x:f>
        <x:v>3</x:v>
      </x:c>
      <x:c r="F113" s="23" t="n">
        <x:f>IF('Setup'!$B$22&gt;0,"",IF(E113=0,0,INDEX('Setup'!$B$9:$B$13,MIN(5,B113-'Processes'!N8+1))))</x:f>
        <x:v>1</x:v>
      </x:c>
      <x:c r="G113" s="22" t="n">
        <x:f>IF('Setup'!$B$22&gt;0,"",MIN(D113,'Processes'!M8))</x:f>
        <x:v>10</x:v>
      </x:c>
      <x:c r="H113" s="22" t="n">
        <x:f>IF('Setup'!$B$22&gt;0,"",MIN(E113,MAX(0,'Processes'!M8-G113)))</x:f>
        <x:v>3</x:v>
      </x:c>
      <x:c r="I113" s="23" t="n">
        <x:f>IF('Setup'!$B$22&gt;0,"",1-'Processes'!G8-'Setup'!C19)</x:f>
        <x:v>0.87</x:v>
      </x:c>
      <x:c r="J113" s="22" t="n">
        <x:f>IF('Setup'!$B$22&gt;0,"",(G113+H113*F113)*I113*'Processes'!F8)</x:f>
        <x:v>73.515</x:v>
      </x:c>
      <x:c r="K113" s="22" t="n">
        <x:f>IF('Setup'!$B$22&gt;0,"",(G113+H113*F113)*I113*V113*'Processes'!H8)</x:f>
        <x:v>0</x:v>
      </x:c>
      <x:c r="L113" s="22" t="n">
        <x:f>IF('Setup'!$B$22&gt;0,"",(J113+K113)*'Processes'!C8*'Setup'!D19/'Processes'!B8)</x:f>
        <x:v>6616.35</x:v>
      </x:c>
      <x:c r="M113" s="22" t="n">
        <x:f>IF('Setup'!$B$22&gt;0,"",'Processes'!L8*'Setup'!E19)</x:f>
        <x:v>6800</x:v>
      </x:c>
      <x:c r="N113" s="24" t="n">
        <x:f>IF('Setup'!$B$22&gt;0,"",INT(MIN(L113,M113)))</x:f>
        <x:v>6616</x:v>
      </x:c>
      <x:c r="O113" s="25" t="n">
        <x:f>IF('Setup'!$B$22&gt;0,"",(D113+E113)*I113*'Processes'!E8*'Processes'!J8)</x:f>
        <x:v>2352.48</x:v>
      </x:c>
      <x:c r="P113" s="25" t="n">
        <x:f>IF('Setup'!$B$22&gt;0,"",(D113+E113)*I113*V113*'Processes'!J8*'Processes'!K8)</x:f>
        <x:v>0</x:v>
      </x:c>
      <x:c r="Q113" s="25" t="n">
        <x:f>IF('Setup'!$B$22&gt;0,"",Z113-AA113)</x:f>
        <x:v>542.8800000000001</x:v>
      </x:c>
      <x:c r="R113" s="22" t="n">
        <x:f>IF('Setup'!$B$22&gt;0,"",D113+E113)</x:f>
        <x:v>13</x:v>
      </x:c>
      <x:c r="S113" s="22" t="n">
        <x:f>IF('Setup'!$B$22&gt;0,"",'Processes'!M8)</x:f>
        <x:v>16</x:v>
      </x:c>
      <x:c r="T113" s="22" t="n">
        <x:f>IF('Setup'!$B$22&gt;0,"",MAX(0,R113-S113))</x:f>
        <x:v>0</x:v>
      </x:c>
      <x:c r="U113" s="22" t="n">
        <x:f>IF('Setup'!$B$22&gt;0,"",'Staffing'!H17)</x:f>
        <x:v>0</x:v>
      </x:c>
      <x:c r="V113" s="22" t="n">
        <x:f>IF('Setup'!$B$22&gt;0,"",MIN(U113,'Processes'!I8))</x:f>
        <x:v>0</x:v>
      </x:c>
      <x:c r="W113" s="22" t="n">
        <x:f>IF('Setup'!$B$22&gt;0,"",MAX(0,U113-V113))</x:f>
        <x:v>0</x:v>
      </x:c>
      <x:c r="X113" s="22" t="n">
        <x:f>IF('Setup'!$B$22&gt;0,"",I113*('Processes'!F8+V113*'Processes'!H8)*'Processes'!C8*'Setup'!D19/'Processes'!B8)</x:f>
        <x:v>508.95</x:v>
      </x:c>
      <x:c r="Y113" s="22" t="n">
        <x:f>IF('Setup'!$B$22&gt;0,"",H113*F113)</x:f>
        <x:v>3</x:v>
      </x:c>
      <x:c r="Z113" s="25" t="n">
        <x:f>IF('Setup'!$B$22&gt;0,"",O113+P113)</x:f>
        <x:v>2352.48</x:v>
      </x:c>
      <x:c r="AA113" s="25" t="n">
        <x:f>IF('Setup'!$B$22&gt;0,"",'Processes'!D8*I113*'Processes'!E8*'Processes'!J8)</x:f>
        <x:v>1809.6</x:v>
      </x:c>
    </x:row>
    <x:row r="114" ht="23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  <x:c r="X114" s="1"/>
      <x:c r="Y114" s="1"/>
      <x:c r="Z114" s="1"/>
      <x:c r="AA114" s="1"/>
    </x:row>
    <x:row r="115" ht="23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  <x:c r="X115" s="1"/>
      <x:c r="Y115" s="1"/>
      <x:c r="Z115" s="1"/>
      <x:c r="AA115" s="1"/>
    </x:row>
    <x:row r="116" ht="23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  <x:c r="X116" s="1"/>
      <x:c r="Y116" s="1"/>
      <x:c r="Z116" s="1"/>
      <x:c r="AA116" s="1"/>
    </x:row>
    <x:row r="117" ht="23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  <x:c r="X117" s="1"/>
      <x:c r="Y117" s="1"/>
      <x:c r="Z117" s="1"/>
      <x:c r="AA117" s="1"/>
    </x:row>
    <x:row r="118" ht="23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  <x:c r="X118" s="1"/>
      <x:c r="Y118" s="1"/>
      <x:c r="Z118" s="1"/>
      <x:c r="AA118" s="1"/>
    </x:row>
  </x:sheetData>
  <x:conditionalFormatting sqref="T6:T113">
    <x:cfRule type="cellIs" dxfId="4" priority="1" operator="greaterThan">
      <x:formula>0</x:formula>
    </x:cfRule>
  </x:conditionalFormatting>
  <x:conditionalFormatting sqref="W6:W113">
    <x:cfRule type="cellIs" dxfId="5" priority="2" operator="greaterThan">
      <x:formula>0</x:formula>
    </x:cfRule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1" hidden="0" customWidth="1"/>
    <x:col min="2" max="2" width="9" hidden="0" customWidth="1"/>
    <x:col min="3" max="3" width="9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30" hidden="0" customWidth="1"/>
    <x:col min="21" max="21" width="17" hidden="0" customWidth="1"/>
    <x:col min="22" max="22" width="17" hidden="0" customWidth="1"/>
    <x:col min="23" max="23" width="17" hidden="0" customWidth="1"/>
  </x:cols>
  <x:sheetData>
    <x:row r="1" ht="31" customHeight="1">
      <x:c r="A1" s="2" t="str">
        <x:v>Base daily plan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 t="str">
        <x:v>Formula outputs. Order backlog covers released orders still requiring the full three-stage flow.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  <x:c r="W3" s="4"/>
    </x:row>
    <x:row r="4" ht="23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58" customHeight="1">
      <x:c r="A5" s="8" t="str">
        <x:v>Date</x:v>
      </x:c>
      <x:c r="B5" s="8" t="str">
        <x:v>Week</x:v>
      </x:c>
      <x:c r="C5" s="8" t="str">
        <x:v>Open</x:v>
      </x:c>
      <x:c r="D5" s="8" t="str">
        <x:v>Orders released</x:v>
      </x:c>
      <x:c r="E5" s="8" t="str">
        <x:v>Opening backlog</x:v>
      </x:c>
      <x:c r="F5" s="8" t="str">
        <x:v>Orders available</x:v>
      </x:c>
      <x:c r="G5" s="8" t="str">
        <x:v>Pick capacity</x:v>
      </x:c>
      <x:c r="H5" s="8" t="str">
        <x:v>Pack capacity</x:v>
      </x:c>
      <x:c r="I5" s="8" t="str">
        <x:v>Ship capacity</x:v>
      </x:c>
      <x:c r="J5" s="8" t="str">
        <x:v>Flow capacity</x:v>
      </x:c>
      <x:c r="K5" s="8" t="str">
        <x:v>Orders completed</x:v>
      </x:c>
      <x:c r="L5" s="8" t="str">
        <x:v>Closing backlog</x:v>
      </x:c>
      <x:c r="M5" s="8" t="str">
        <x:v>Capacity used</x:v>
      </x:c>
      <x:c r="N5" s="8" t="str">
        <x:v>Labor cost ($)</x:v>
      </x:c>
      <x:c r="O5" s="8" t="str">
        <x:v>Incremental
cost ($)</x:v>
      </x:c>
      <x:c r="P5" s="8" t="str">
        <x:v>Limiting stage</x:v>
      </x:c>
      <x:c r="Q5" s="8" t="str">
        <x:v>Pick extra
trained</x:v>
      </x:c>
      <x:c r="R5" s="8" t="str">
        <x:v>Pack extra
trained</x:v>
      </x:c>
      <x:c r="S5" s="8" t="str">
        <x:v>Ship extra
trained</x:v>
      </x:c>
      <x:c r="T5" s="8" t="str">
        <x:v>Action</x:v>
      </x:c>
      <x:c r="U5" s="8" t="str">
        <x:v>Physical shortfall</x:v>
      </x:c>
      <x:c r="V5" s="8" t="str">
        <x:v>Unplaced heads</x:v>
      </x:c>
      <x:c r="W5" s="8" t="str">
        <x:v>OT over limit</x:v>
      </x:c>
    </x:row>
    <x:row r="6" ht="23" customHeight="1">
      <x:c r="A6" s="20" t="n">
        <x:f>IF('Setup'!$B$22&gt;0,"",'Demand'!A6)</x:f>
        <x:v>46300</x:v>
      </x:c>
      <x:c r="B6" s="1" t="n">
        <x:f>IF('Setup'!$B$22&gt;0,"",'Demand'!B6)</x:f>
        <x:v>1</x:v>
      </x:c>
      <x:c r="C6" s="1" t="n">
        <x:f>IF('Setup'!$B$22&gt;0,"",'Demand'!C6)</x:f>
        <x:v>1</x:v>
      </x:c>
      <x:c r="D6" s="24" t="n">
        <x:f>IF('Setup'!$B$22&gt;0,"",ROUND('Demand'!D6*'Setup'!B17,0))</x:f>
        <x:v>6500</x:v>
      </x:c>
      <x:c r="E6" s="24" t="n">
        <x:f>IF('Setup'!$B$22&gt;0,"",'Setup'!$B$6)</x:f>
        <x:v>0</x:v>
      </x:c>
      <x:c r="F6" s="24" t="n">
        <x:f>IF('Setup'!$B$22&gt;0,"",D6+E6)</x:f>
        <x:v>6500</x:v>
      </x:c>
      <x:c r="G6" s="24" t="n">
        <x:f>IF('Setup'!$B$22&gt;0,"",'Capacity'!N6*C6)</x:f>
        <x:v>7176</x:v>
      </x:c>
      <x:c r="H6" s="24" t="n">
        <x:f>IF('Setup'!$B$22&gt;0,"",'Capacity'!N7*C6)</x:f>
        <x:v>6458</x:v>
      </x:c>
      <x:c r="I6" s="24" t="n">
        <x:f>IF('Setup'!$B$22&gt;0,"",'Capacity'!N8*C6)</x:f>
        <x:v>5980</x:v>
      </x:c>
      <x:c r="J6" s="24" t="n">
        <x:f>IF('Setup'!$B$22&gt;0,"",MIN(G6:I6))</x:f>
        <x:v>5980</x:v>
      </x:c>
      <x:c r="K6" s="24" t="n">
        <x:f>IF('Setup'!$B$22&gt;0,"",MIN(F6,J6))</x:f>
        <x:v>5980</x:v>
      </x:c>
      <x:c r="L6" s="24" t="n">
        <x:f>IF('Setup'!$B$22&gt;0,"",MAX(0,F6-K6))</x:f>
        <x:v>520</x:v>
      </x:c>
      <x:c r="M6" s="23" t="n">
        <x:f>IF('Setup'!$B$22&gt;0,"",IF(J6=0,0,K6/J6))</x:f>
        <x:v>1</x:v>
      </x:c>
      <x:c r="N6" s="25" t="n">
        <x:f>IF('Setup'!$B$22&gt;0,"",SUM('Capacity'!Z6:Z8)*C6)</x:f>
        <x:v>9332.480000000001</x:v>
      </x:c>
      <x:c r="O6" s="25" t="n">
        <x:f>IF('Setup'!$B$22&gt;0,"",SUM('Capacity'!Q6:Q8)*C6)</x:f>
        <x:v>0</x:v>
      </x:c>
      <x:c r="P6" s="1" t="str">
        <x:f>IF('Setup'!$B$22&gt;0,"",IF(C6=0,"Closed",INDEX('Processes'!$A$6:$A$8,MATCH(J6,G6:I6,0))))</x:f>
        <x:v>Ship</x:v>
      </x:c>
      <x:c r="Q6" s="1" t="n">
        <x:f>IF('Setup'!$B$22&gt;0,"",IF(C6=0,0,MAX(0,ROUNDUP(F6/'Capacity'!X6-'Capacity'!Y6,0)-'Capacity'!G6)))</x:f>
        <x:v>0</x:v>
      </x:c>
      <x:c r="R6" s="1" t="n">
        <x:f>IF('Setup'!$B$22&gt;0,"",IF(C6=0,0,MAX(0,ROUNDUP(F6/'Capacity'!X7-'Capacity'!Y7,0)-'Capacity'!G7)))</x:f>
        <x:v>1</x:v>
      </x:c>
      <x:c r="S6" s="1" t="n">
        <x:f>IF('Setup'!$B$22&gt;0,"",IF(C6=0,0,MAX(0,ROUNDUP(F6/'Capacity'!X8-'Capacity'!Y8,0)-'Capacity'!G8)))</x:f>
        <x:v>1</x:v>
      </x:c>
      <x:c r="T6" s="1" t="str">
        <x:f>IF('Setup'!$B$22&gt;0,"",IF(C6=0,IF(L6&gt;'Setup'!$B$7,"Backlog on closed day","Closed"),IF(OR(V6&gt;0,W6&gt;0),"Resolve staffing limits",IF(U6&gt;0,"Resolve physical limit",IF(L6&gt;'Setup'!$B$7,"Close labor capacity gap",IF(L6&gt;0,"Backlog below threshold","Within daily capacity"))))))</x:f>
        <x:v>Close labor capacity gap</x:v>
      </x:c>
      <x:c r="U6" s="1" t="n">
        <x:f>IF('Setup'!$B$22&gt;0,"",IF(C6=0,0,MAX(0,F6-INT(MIN('Capacity'!M6:M8)))))</x:f>
        <x:v>0</x:v>
      </x:c>
      <x:c r="V6" s="1" t="n">
        <x:f>IF('Setup'!$B$22&gt;0,"",SUM('Capacity'!T6:T8)*C6)</x:f>
        <x:v>0</x:v>
      </x:c>
      <x:c r="W6" s="1" t="n">
        <x:f>IF('Setup'!$B$22&gt;0,"",SUM('Capacity'!W6:W8)*C6)</x:f>
        <x:v>0</x:v>
      </x:c>
    </x:row>
    <x:row r="7" ht="23" customHeight="1">
      <x:c r="A7" s="20" t="n">
        <x:f>IF('Setup'!$B$22&gt;0,"",'Demand'!A7)</x:f>
        <x:v>46301</x:v>
      </x:c>
      <x:c r="B7" s="1" t="n">
        <x:f>IF('Setup'!$B$22&gt;0,"",'Demand'!B7)</x:f>
        <x:v>1</x:v>
      </x:c>
      <x:c r="C7" s="1" t="n">
        <x:f>IF('Setup'!$B$22&gt;0,"",'Demand'!C7)</x:f>
        <x:v>1</x:v>
      </x:c>
      <x:c r="D7" s="24" t="n">
        <x:f>IF('Setup'!$B$22&gt;0,"",ROUND('Demand'!D7*'Setup'!B17,0))</x:f>
        <x:v>6500</x:v>
      </x:c>
      <x:c r="E7" s="24" t="n">
        <x:f>IF('Setup'!$B$22&gt;0,"",L6)</x:f>
        <x:v>520</x:v>
      </x:c>
      <x:c r="F7" s="24" t="n">
        <x:f>IF('Setup'!$B$22&gt;0,"",D7+E7)</x:f>
        <x:v>7020</x:v>
      </x:c>
      <x:c r="G7" s="24" t="n">
        <x:f>IF('Setup'!$B$22&gt;0,"",'Capacity'!N6*C7)</x:f>
        <x:v>7176</x:v>
      </x:c>
      <x:c r="H7" s="24" t="n">
        <x:f>IF('Setup'!$B$22&gt;0,"",'Capacity'!N7*C7)</x:f>
        <x:v>6458</x:v>
      </x:c>
      <x:c r="I7" s="24" t="n">
        <x:f>IF('Setup'!$B$22&gt;0,"",'Capacity'!N8*C7)</x:f>
        <x:v>5980</x:v>
      </x:c>
      <x:c r="J7" s="24" t="n">
        <x:f>IF('Setup'!$B$22&gt;0,"",MIN(G7:I7))</x:f>
        <x:v>5980</x:v>
      </x:c>
      <x:c r="K7" s="24" t="n">
        <x:f>IF('Setup'!$B$22&gt;0,"",MIN(F7,J7))</x:f>
        <x:v>5980</x:v>
      </x:c>
      <x:c r="L7" s="24" t="n">
        <x:f>IF('Setup'!$B$22&gt;0,"",MAX(0,F7-K7))</x:f>
        <x:v>1040</x:v>
      </x:c>
      <x:c r="M7" s="23" t="n">
        <x:f>IF('Setup'!$B$22&gt;0,"",IF(J7=0,0,K7/J7))</x:f>
        <x:v>1</x:v>
      </x:c>
      <x:c r="N7" s="25" t="n">
        <x:f>IF('Setup'!$B$22&gt;0,"",SUM('Capacity'!Z6:Z8)*C7)</x:f>
        <x:v>9332.480000000001</x:v>
      </x:c>
      <x:c r="O7" s="25" t="n">
        <x:f>IF('Setup'!$B$22&gt;0,"",SUM('Capacity'!Q6:Q8)*C7)</x:f>
        <x:v>0</x:v>
      </x:c>
      <x:c r="P7" s="1" t="str">
        <x:f>IF('Setup'!$B$22&gt;0,"",IF(C7=0,"Closed",INDEX('Processes'!$A$6:$A$8,MATCH(J7,G7:I7,0))))</x:f>
        <x:v>Ship</x:v>
      </x:c>
      <x:c r="Q7" s="1" t="n">
        <x:f>IF('Setup'!$B$22&gt;0,"",IF(C7=0,0,MAX(0,ROUNDUP(F7/'Capacity'!X6-'Capacity'!Y6,0)-'Capacity'!G6)))</x:f>
        <x:v>0</x:v>
      </x:c>
      <x:c r="R7" s="1" t="n">
        <x:f>IF('Setup'!$B$22&gt;0,"",IF(C7=0,0,MAX(0,ROUNDUP(F7/'Capacity'!X7-'Capacity'!Y7,0)-'Capacity'!G7)))</x:f>
        <x:v>2</x:v>
      </x:c>
      <x:c r="S7" s="1" t="n">
        <x:f>IF('Setup'!$B$22&gt;0,"",IF(C7=0,0,MAX(0,ROUNDUP(F7/'Capacity'!X8-'Capacity'!Y8,0)-'Capacity'!G8)))</x:f>
        <x:v>2</x:v>
      </x:c>
      <x:c r="T7" s="1" t="str">
        <x:f>IF('Setup'!$B$22&gt;0,"",IF(C7=0,IF(L7&gt;'Setup'!$B$7,"Backlog on closed day","Closed"),IF(OR(V7&gt;0,W7&gt;0),"Resolve staffing limits",IF(U7&gt;0,"Resolve physical limit",IF(L7&gt;'Setup'!$B$7,"Close labor capacity gap",IF(L7&gt;0,"Backlog below threshold","Within daily capacity"))))))</x:f>
        <x:v>Close labor capacity gap</x:v>
      </x:c>
      <x:c r="U7" s="1" t="n">
        <x:f>IF('Setup'!$B$22&gt;0,"",IF(C7=0,0,MAX(0,F7-INT(MIN('Capacity'!M6:M8)))))</x:f>
        <x:v>0</x:v>
      </x:c>
      <x:c r="V7" s="1" t="n">
        <x:f>IF('Setup'!$B$22&gt;0,"",SUM('Capacity'!T6:T8)*C7)</x:f>
        <x:v>0</x:v>
      </x:c>
      <x:c r="W7" s="1" t="n">
        <x:f>IF('Setup'!$B$22&gt;0,"",SUM('Capacity'!W6:W8)*C7)</x:f>
        <x:v>0</x:v>
      </x:c>
    </x:row>
    <x:row r="8" ht="23" customHeight="1">
      <x:c r="A8" s="20" t="n">
        <x:f>IF('Setup'!$B$22&gt;0,"",'Demand'!A8)</x:f>
        <x:v>46302</x:v>
      </x:c>
      <x:c r="B8" s="1" t="n">
        <x:f>IF('Setup'!$B$22&gt;0,"",'Demand'!B8)</x:f>
        <x:v>1</x:v>
      </x:c>
      <x:c r="C8" s="1" t="n">
        <x:f>IF('Setup'!$B$22&gt;0,"",'Demand'!C8)</x:f>
        <x:v>1</x:v>
      </x:c>
      <x:c r="D8" s="24" t="n">
        <x:f>IF('Setup'!$B$22&gt;0,"",ROUND('Demand'!D8*'Setup'!B17,0))</x:f>
        <x:v>6500</x:v>
      </x:c>
      <x:c r="E8" s="24" t="n">
        <x:f>IF('Setup'!$B$22&gt;0,"",L7)</x:f>
        <x:v>1040</x:v>
      </x:c>
      <x:c r="F8" s="24" t="n">
        <x:f>IF('Setup'!$B$22&gt;0,"",D8+E8)</x:f>
        <x:v>7540</x:v>
      </x:c>
      <x:c r="G8" s="24" t="n">
        <x:f>IF('Setup'!$B$22&gt;0,"",'Capacity'!N6*C8)</x:f>
        <x:v>7176</x:v>
      </x:c>
      <x:c r="H8" s="24" t="n">
        <x:f>IF('Setup'!$B$22&gt;0,"",'Capacity'!N7*C8)</x:f>
        <x:v>6458</x:v>
      </x:c>
      <x:c r="I8" s="24" t="n">
        <x:f>IF('Setup'!$B$22&gt;0,"",'Capacity'!N8*C8)</x:f>
        <x:v>5980</x:v>
      </x:c>
      <x:c r="J8" s="24" t="n">
        <x:f>IF('Setup'!$B$22&gt;0,"",MIN(G8:I8))</x:f>
        <x:v>5980</x:v>
      </x:c>
      <x:c r="K8" s="24" t="n">
        <x:f>IF('Setup'!$B$22&gt;0,"",MIN(F8,J8))</x:f>
        <x:v>5980</x:v>
      </x:c>
      <x:c r="L8" s="24" t="n">
        <x:f>IF('Setup'!$B$22&gt;0,"",MAX(0,F8-K8))</x:f>
        <x:v>1560</x:v>
      </x:c>
      <x:c r="M8" s="23" t="n">
        <x:f>IF('Setup'!$B$22&gt;0,"",IF(J8=0,0,K8/J8))</x:f>
        <x:v>1</x:v>
      </x:c>
      <x:c r="N8" s="25" t="n">
        <x:f>IF('Setup'!$B$22&gt;0,"",SUM('Capacity'!Z6:Z8)*C8)</x:f>
        <x:v>9332.480000000001</x:v>
      </x:c>
      <x:c r="O8" s="25" t="n">
        <x:f>IF('Setup'!$B$22&gt;0,"",SUM('Capacity'!Q6:Q8)*C8)</x:f>
        <x:v>0</x:v>
      </x:c>
      <x:c r="P8" s="1" t="str">
        <x:f>IF('Setup'!$B$22&gt;0,"",IF(C8=0,"Closed",INDEX('Processes'!$A$6:$A$8,MATCH(J8,G8:I8,0))))</x:f>
        <x:v>Ship</x:v>
      </x:c>
      <x:c r="Q8" s="1" t="n">
        <x:f>IF('Setup'!$B$22&gt;0,"",IF(C8=0,0,MAX(0,ROUNDUP(F8/'Capacity'!X6-'Capacity'!Y6,0)-'Capacity'!G6)))</x:f>
        <x:v>2</x:v>
      </x:c>
      <x:c r="R8" s="1" t="n">
        <x:f>IF('Setup'!$B$22&gt;0,"",IF(C8=0,0,MAX(0,ROUNDUP(F8/'Capacity'!X7-'Capacity'!Y7,0)-'Capacity'!G7)))</x:f>
        <x:v>4</x:v>
      </x:c>
      <x:c r="S8" s="1" t="n">
        <x:f>IF('Setup'!$B$22&gt;0,"",IF(C8=0,0,MAX(0,ROUNDUP(F8/'Capacity'!X8-'Capacity'!Y8,0)-'Capacity'!G8)))</x:f>
        <x:v>3</x:v>
      </x:c>
      <x:c r="T8" s="1" t="str">
        <x:f>IF('Setup'!$B$22&gt;0,"",IF(C8=0,IF(L8&gt;'Setup'!$B$7,"Backlog on closed day","Closed"),IF(OR(V8&gt;0,W8&gt;0),"Resolve staffing limits",IF(U8&gt;0,"Resolve physical limit",IF(L8&gt;'Setup'!$B$7,"Close labor capacity gap",IF(L8&gt;0,"Backlog below threshold","Within daily capacity"))))))</x:f>
        <x:v>Close labor capacity gap</x:v>
      </x:c>
      <x:c r="U8" s="1" t="n">
        <x:f>IF('Setup'!$B$22&gt;0,"",IF(C8=0,0,MAX(0,F8-INT(MIN('Capacity'!M6:M8)))))</x:f>
        <x:v>0</x:v>
      </x:c>
      <x:c r="V8" s="1" t="n">
        <x:f>IF('Setup'!$B$22&gt;0,"",SUM('Capacity'!T6:T8)*C8)</x:f>
        <x:v>0</x:v>
      </x:c>
      <x:c r="W8" s="1" t="n">
        <x:f>IF('Setup'!$B$22&gt;0,"",SUM('Capacity'!W6:W8)*C8)</x:f>
        <x:v>0</x:v>
      </x:c>
    </x:row>
    <x:row r="9" ht="23" customHeight="1">
      <x:c r="A9" s="20" t="n">
        <x:f>IF('Setup'!$B$22&gt;0,"",'Demand'!A9)</x:f>
        <x:v>46303</x:v>
      </x:c>
      <x:c r="B9" s="1" t="n">
        <x:f>IF('Setup'!$B$22&gt;0,"",'Demand'!B9)</x:f>
        <x:v>1</x:v>
      </x:c>
      <x:c r="C9" s="1" t="n">
        <x:f>IF('Setup'!$B$22&gt;0,"",'Demand'!C9)</x:f>
        <x:v>1</x:v>
      </x:c>
      <x:c r="D9" s="24" t="n">
        <x:f>IF('Setup'!$B$22&gt;0,"",ROUND('Demand'!D9*'Setup'!B17,0))</x:f>
        <x:v>6500</x:v>
      </x:c>
      <x:c r="E9" s="24" t="n">
        <x:f>IF('Setup'!$B$22&gt;0,"",L8)</x:f>
        <x:v>1560</x:v>
      </x:c>
      <x:c r="F9" s="24" t="n">
        <x:f>IF('Setup'!$B$22&gt;0,"",D9+E9)</x:f>
        <x:v>8060</x:v>
      </x:c>
      <x:c r="G9" s="24" t="n">
        <x:f>IF('Setup'!$B$22&gt;0,"",'Capacity'!N6*C9)</x:f>
        <x:v>7176</x:v>
      </x:c>
      <x:c r="H9" s="24" t="n">
        <x:f>IF('Setup'!$B$22&gt;0,"",'Capacity'!N7*C9)</x:f>
        <x:v>6458</x:v>
      </x:c>
      <x:c r="I9" s="24" t="n">
        <x:f>IF('Setup'!$B$22&gt;0,"",'Capacity'!N8*C9)</x:f>
        <x:v>5980</x:v>
      </x:c>
      <x:c r="J9" s="24" t="n">
        <x:f>IF('Setup'!$B$22&gt;0,"",MIN(G9:I9))</x:f>
        <x:v>5980</x:v>
      </x:c>
      <x:c r="K9" s="24" t="n">
        <x:f>IF('Setup'!$B$22&gt;0,"",MIN(F9,J9))</x:f>
        <x:v>5980</x:v>
      </x:c>
      <x:c r="L9" s="24" t="n">
        <x:f>IF('Setup'!$B$22&gt;0,"",MAX(0,F9-K9))</x:f>
        <x:v>2080</x:v>
      </x:c>
      <x:c r="M9" s="23" t="n">
        <x:f>IF('Setup'!$B$22&gt;0,"",IF(J9=0,0,K9/J9))</x:f>
        <x:v>1</x:v>
      </x:c>
      <x:c r="N9" s="25" t="n">
        <x:f>IF('Setup'!$B$22&gt;0,"",SUM('Capacity'!Z6:Z8)*C9)</x:f>
        <x:v>9332.480000000001</x:v>
      </x:c>
      <x:c r="O9" s="25" t="n">
        <x:f>IF('Setup'!$B$22&gt;0,"",SUM('Capacity'!Q6:Q8)*C9)</x:f>
        <x:v>0</x:v>
      </x:c>
      <x:c r="P9" s="1" t="str">
        <x:f>IF('Setup'!$B$22&gt;0,"",IF(C9=0,"Closed",INDEX('Processes'!$A$6:$A$8,MATCH(J9,G9:I9,0))))</x:f>
        <x:v>Ship</x:v>
      </x:c>
      <x:c r="Q9" s="1" t="n">
        <x:f>IF('Setup'!$B$22&gt;0,"",IF(C9=0,0,MAX(0,ROUNDUP(F9/'Capacity'!X6-'Capacity'!Y6,0)-'Capacity'!G6)))</x:f>
        <x:v>3</x:v>
      </x:c>
      <x:c r="R9" s="1" t="n">
        <x:f>IF('Setup'!$B$22&gt;0,"",IF(C9=0,0,MAX(0,ROUNDUP(F9/'Capacity'!X7-'Capacity'!Y7,0)-'Capacity'!G7)))</x:f>
        <x:v>5</x:v>
      </x:c>
      <x:c r="S9" s="1" t="n">
        <x:f>IF('Setup'!$B$22&gt;0,"",IF(C9=0,0,MAX(0,ROUNDUP(F9/'Capacity'!X8-'Capacity'!Y8,0)-'Capacity'!G8)))</x:f>
        <x:v>4</x:v>
      </x:c>
      <x:c r="T9" s="1" t="str">
        <x:f>IF('Setup'!$B$22&gt;0,"",IF(C9=0,IF(L9&gt;'Setup'!$B$7,"Backlog on closed day","Closed"),IF(OR(V9&gt;0,W9&gt;0),"Resolve staffing limits",IF(U9&gt;0,"Resolve physical limit",IF(L9&gt;'Setup'!$B$7,"Close labor capacity gap",IF(L9&gt;0,"Backlog below threshold","Within daily capacity"))))))</x:f>
        <x:v>Resolve physical limit</x:v>
      </x:c>
      <x:c r="U9" s="1" t="n">
        <x:f>IF('Setup'!$B$22&gt;0,"",IF(C9=0,0,MAX(0,F9-INT(MIN('Capacity'!M6:M8)))))</x:f>
        <x:v>60</x:v>
      </x:c>
      <x:c r="V9" s="1" t="n">
        <x:f>IF('Setup'!$B$22&gt;0,"",SUM('Capacity'!T6:T8)*C9)</x:f>
        <x:v>0</x:v>
      </x:c>
      <x:c r="W9" s="1" t="n">
        <x:f>IF('Setup'!$B$22&gt;0,"",SUM('Capacity'!W6:W8)*C9)</x:f>
        <x:v>0</x:v>
      </x:c>
    </x:row>
    <x:row r="10" ht="23" customHeight="1">
      <x:c r="A10" s="20" t="n">
        <x:f>IF('Setup'!$B$22&gt;0,"",'Demand'!A10)</x:f>
        <x:v>46304</x:v>
      </x:c>
      <x:c r="B10" s="1" t="n">
        <x:f>IF('Setup'!$B$22&gt;0,"",'Demand'!B10)</x:f>
        <x:v>1</x:v>
      </x:c>
      <x:c r="C10" s="1" t="n">
        <x:f>IF('Setup'!$B$22&gt;0,"",'Demand'!C10)</x:f>
        <x:v>1</x:v>
      </x:c>
      <x:c r="D10" s="24" t="n">
        <x:f>IF('Setup'!$B$22&gt;0,"",ROUND('Demand'!D10*'Setup'!B17,0))</x:f>
        <x:v>6500</x:v>
      </x:c>
      <x:c r="E10" s="24" t="n">
        <x:f>IF('Setup'!$B$22&gt;0,"",L9)</x:f>
        <x:v>2080</x:v>
      </x:c>
      <x:c r="F10" s="24" t="n">
        <x:f>IF('Setup'!$B$22&gt;0,"",D10+E10)</x:f>
        <x:v>8580</x:v>
      </x:c>
      <x:c r="G10" s="24" t="n">
        <x:f>IF('Setup'!$B$22&gt;0,"",'Capacity'!N6*C10)</x:f>
        <x:v>7176</x:v>
      </x:c>
      <x:c r="H10" s="24" t="n">
        <x:f>IF('Setup'!$B$22&gt;0,"",'Capacity'!N7*C10)</x:f>
        <x:v>6458</x:v>
      </x:c>
      <x:c r="I10" s="24" t="n">
        <x:f>IF('Setup'!$B$22&gt;0,"",'Capacity'!N8*C10)</x:f>
        <x:v>5980</x:v>
      </x:c>
      <x:c r="J10" s="24" t="n">
        <x:f>IF('Setup'!$B$22&gt;0,"",MIN(G10:I10))</x:f>
        <x:v>5980</x:v>
      </x:c>
      <x:c r="K10" s="24" t="n">
        <x:f>IF('Setup'!$B$22&gt;0,"",MIN(F10,J10))</x:f>
        <x:v>5980</x:v>
      </x:c>
      <x:c r="L10" s="24" t="n">
        <x:f>IF('Setup'!$B$22&gt;0,"",MAX(0,F10-K10))</x:f>
        <x:v>2600</x:v>
      </x:c>
      <x:c r="M10" s="23" t="n">
        <x:f>IF('Setup'!$B$22&gt;0,"",IF(J10=0,0,K10/J10))</x:f>
        <x:v>1</x:v>
      </x:c>
      <x:c r="N10" s="25" t="n">
        <x:f>IF('Setup'!$B$22&gt;0,"",SUM('Capacity'!Z6:Z8)*C10)</x:f>
        <x:v>9332.480000000001</x:v>
      </x:c>
      <x:c r="O10" s="25" t="n">
        <x:f>IF('Setup'!$B$22&gt;0,"",SUM('Capacity'!Q6:Q8)*C10)</x:f>
        <x:v>0</x:v>
      </x:c>
      <x:c r="P10" s="1" t="str">
        <x:f>IF('Setup'!$B$22&gt;0,"",IF(C10=0,"Closed",INDEX('Processes'!$A$6:$A$8,MATCH(J10,G10:I10,0))))</x:f>
        <x:v>Ship</x:v>
      </x:c>
      <x:c r="Q10" s="1" t="n">
        <x:f>IF('Setup'!$B$22&gt;0,"",IF(C10=0,0,MAX(0,ROUNDUP(F10/'Capacity'!X6-'Capacity'!Y6,0)-'Capacity'!G6)))</x:f>
        <x:v>5</x:v>
      </x:c>
      <x:c r="R10" s="1" t="n">
        <x:f>IF('Setup'!$B$22&gt;0,"",IF(C10=0,0,MAX(0,ROUNDUP(F10/'Capacity'!X7-'Capacity'!Y7,0)-'Capacity'!G7)))</x:f>
        <x:v>6</x:v>
      </x:c>
      <x:c r="S10" s="1" t="n">
        <x:f>IF('Setup'!$B$22&gt;0,"",IF(C10=0,0,MAX(0,ROUNDUP(F10/'Capacity'!X8-'Capacity'!Y8,0)-'Capacity'!G8)))</x:f>
        <x:v>5</x:v>
      </x:c>
      <x:c r="T10" s="1" t="str">
        <x:f>IF('Setup'!$B$22&gt;0,"",IF(C10=0,IF(L10&gt;'Setup'!$B$7,"Backlog on closed day","Closed"),IF(OR(V10&gt;0,W10&gt;0),"Resolve staffing limits",IF(U10&gt;0,"Resolve physical limit",IF(L10&gt;'Setup'!$B$7,"Close labor capacity gap",IF(L10&gt;0,"Backlog below threshold","Within daily capacity"))))))</x:f>
        <x:v>Resolve physical limit</x:v>
      </x:c>
      <x:c r="U10" s="1" t="n">
        <x:f>IF('Setup'!$B$22&gt;0,"",IF(C10=0,0,MAX(0,F10-INT(MIN('Capacity'!M6:M8)))))</x:f>
        <x:v>580</x:v>
      </x:c>
      <x:c r="V10" s="1" t="n">
        <x:f>IF('Setup'!$B$22&gt;0,"",SUM('Capacity'!T6:T8)*C10)</x:f>
        <x:v>0</x:v>
      </x:c>
      <x:c r="W10" s="1" t="n">
        <x:f>IF('Setup'!$B$22&gt;0,"",SUM('Capacity'!W6:W8)*C10)</x:f>
        <x:v>0</x:v>
      </x:c>
    </x:row>
    <x:row r="11" ht="23" customHeight="1">
      <x:c r="A11" s="20" t="n">
        <x:f>IF('Setup'!$B$22&gt;0,"",'Demand'!A11)</x:f>
        <x:v>46305</x:v>
      </x:c>
      <x:c r="B11" s="1" t="n">
        <x:f>IF('Setup'!$B$22&gt;0,"",'Demand'!B11)</x:f>
        <x:v>1</x:v>
      </x:c>
      <x:c r="C11" s="1" t="n">
        <x:f>IF('Setup'!$B$22&gt;0,"",'Demand'!C11)</x:f>
        <x:v>0</x:v>
      </x:c>
      <x:c r="D11" s="24" t="n">
        <x:f>IF('Setup'!$B$22&gt;0,"",ROUND('Demand'!D11*'Setup'!B17,0))</x:f>
        <x:v>0</x:v>
      </x:c>
      <x:c r="E11" s="24" t="n">
        <x:f>IF('Setup'!$B$22&gt;0,"",L10)</x:f>
        <x:v>2600</x:v>
      </x:c>
      <x:c r="F11" s="24" t="n">
        <x:f>IF('Setup'!$B$22&gt;0,"",D11+E11)</x:f>
        <x:v>2600</x:v>
      </x:c>
      <x:c r="G11" s="24" t="n">
        <x:f>IF('Setup'!$B$22&gt;0,"",'Capacity'!N6*C11)</x:f>
        <x:v>0</x:v>
      </x:c>
      <x:c r="H11" s="24" t="n">
        <x:f>IF('Setup'!$B$22&gt;0,"",'Capacity'!N7*C11)</x:f>
        <x:v>0</x:v>
      </x:c>
      <x:c r="I11" s="24" t="n">
        <x:f>IF('Setup'!$B$22&gt;0,"",'Capacity'!N8*C11)</x:f>
        <x:v>0</x:v>
      </x:c>
      <x:c r="J11" s="24" t="n">
        <x:f>IF('Setup'!$B$22&gt;0,"",MIN(G11:I11))</x:f>
        <x:v>0</x:v>
      </x:c>
      <x:c r="K11" s="24" t="n">
        <x:f>IF('Setup'!$B$22&gt;0,"",MIN(F11,J11))</x:f>
        <x:v>0</x:v>
      </x:c>
      <x:c r="L11" s="24" t="n">
        <x:f>IF('Setup'!$B$22&gt;0,"",MAX(0,F11-K11))</x:f>
        <x:v>2600</x:v>
      </x:c>
      <x:c r="M11" s="23" t="n">
        <x:f>IF('Setup'!$B$22&gt;0,"",IF(J11=0,0,K11/J11))</x:f>
        <x:v>0</x:v>
      </x:c>
      <x:c r="N11" s="25" t="n">
        <x:f>IF('Setup'!$B$22&gt;0,"",SUM('Capacity'!Z6:Z8)*C11)</x:f>
        <x:v>0</x:v>
      </x:c>
      <x:c r="O11" s="25" t="n">
        <x:f>IF('Setup'!$B$22&gt;0,"",SUM('Capacity'!Q6:Q8)*C11)</x:f>
        <x:v>0</x:v>
      </x:c>
      <x:c r="P11" s="1" t="str">
        <x:f>IF('Setup'!$B$22&gt;0,"",IF(C11=0,"Closed",INDEX('Processes'!$A$6:$A$8,MATCH(J11,G11:I11,0))))</x:f>
        <x:v>Closed</x:v>
      </x:c>
      <x:c r="Q11" s="1" t="n">
        <x:f>IF('Setup'!$B$22&gt;0,"",IF(C11=0,0,MAX(0,ROUNDUP(F11/'Capacity'!X6-'Capacity'!Y6,0)-'Capacity'!G6)))</x:f>
        <x:v>0</x:v>
      </x:c>
      <x:c r="R11" s="1" t="n">
        <x:f>IF('Setup'!$B$22&gt;0,"",IF(C11=0,0,MAX(0,ROUNDUP(F11/'Capacity'!X7-'Capacity'!Y7,0)-'Capacity'!G7)))</x:f>
        <x:v>0</x:v>
      </x:c>
      <x:c r="S11" s="1" t="n">
        <x:f>IF('Setup'!$B$22&gt;0,"",IF(C11=0,0,MAX(0,ROUNDUP(F11/'Capacity'!X8-'Capacity'!Y8,0)-'Capacity'!G8)))</x:f>
        <x:v>0</x:v>
      </x:c>
      <x:c r="T11" s="1" t="str">
        <x:f>IF('Setup'!$B$22&gt;0,"",IF(C11=0,IF(L11&gt;'Setup'!$B$7,"Backlog on closed day","Closed"),IF(OR(V11&gt;0,W11&gt;0),"Resolve staffing limits",IF(U11&gt;0,"Resolve physical limit",IF(L11&gt;'Setup'!$B$7,"Close labor capacity gap",IF(L11&gt;0,"Backlog below threshold","Within daily capacity"))))))</x:f>
        <x:v>Backlog on closed day</x:v>
      </x:c>
      <x:c r="U11" s="1" t="n">
        <x:f>IF('Setup'!$B$22&gt;0,"",IF(C11=0,0,MAX(0,F11-INT(MIN('Capacity'!M6:M8)))))</x:f>
        <x:v>0</x:v>
      </x:c>
      <x:c r="V11" s="1" t="n">
        <x:f>IF('Setup'!$B$22&gt;0,"",SUM('Capacity'!T6:T8)*C11)</x:f>
        <x:v>0</x:v>
      </x:c>
      <x:c r="W11" s="1" t="n">
        <x:f>IF('Setup'!$B$22&gt;0,"",SUM('Capacity'!W6:W8)*C11)</x:f>
        <x:v>0</x:v>
      </x:c>
    </x:row>
    <x:row r="12" ht="23" customHeight="1">
      <x:c r="A12" s="20" t="n">
        <x:f>IF('Setup'!$B$22&gt;0,"",'Demand'!A12)</x:f>
        <x:v>46306</x:v>
      </x:c>
      <x:c r="B12" s="1" t="n">
        <x:f>IF('Setup'!$B$22&gt;0,"",'Demand'!B12)</x:f>
        <x:v>1</x:v>
      </x:c>
      <x:c r="C12" s="1" t="n">
        <x:f>IF('Setup'!$B$22&gt;0,"",'Demand'!C12)</x:f>
        <x:v>0</x:v>
      </x:c>
      <x:c r="D12" s="24" t="n">
        <x:f>IF('Setup'!$B$22&gt;0,"",ROUND('Demand'!D12*'Setup'!B17,0))</x:f>
        <x:v>0</x:v>
      </x:c>
      <x:c r="E12" s="24" t="n">
        <x:f>IF('Setup'!$B$22&gt;0,"",L11)</x:f>
        <x:v>2600</x:v>
      </x:c>
      <x:c r="F12" s="24" t="n">
        <x:f>IF('Setup'!$B$22&gt;0,"",D12+E12)</x:f>
        <x:v>2600</x:v>
      </x:c>
      <x:c r="G12" s="24" t="n">
        <x:f>IF('Setup'!$B$22&gt;0,"",'Capacity'!N6*C12)</x:f>
        <x:v>0</x:v>
      </x:c>
      <x:c r="H12" s="24" t="n">
        <x:f>IF('Setup'!$B$22&gt;0,"",'Capacity'!N7*C12)</x:f>
        <x:v>0</x:v>
      </x:c>
      <x:c r="I12" s="24" t="n">
        <x:f>IF('Setup'!$B$22&gt;0,"",'Capacity'!N8*C12)</x:f>
        <x:v>0</x:v>
      </x:c>
      <x:c r="J12" s="24" t="n">
        <x:f>IF('Setup'!$B$22&gt;0,"",MIN(G12:I12))</x:f>
        <x:v>0</x:v>
      </x:c>
      <x:c r="K12" s="24" t="n">
        <x:f>IF('Setup'!$B$22&gt;0,"",MIN(F12,J12))</x:f>
        <x:v>0</x:v>
      </x:c>
      <x:c r="L12" s="24" t="n">
        <x:f>IF('Setup'!$B$22&gt;0,"",MAX(0,F12-K12))</x:f>
        <x:v>2600</x:v>
      </x:c>
      <x:c r="M12" s="23" t="n">
        <x:f>IF('Setup'!$B$22&gt;0,"",IF(J12=0,0,K12/J12))</x:f>
        <x:v>0</x:v>
      </x:c>
      <x:c r="N12" s="25" t="n">
        <x:f>IF('Setup'!$B$22&gt;0,"",SUM('Capacity'!Z6:Z8)*C12)</x:f>
        <x:v>0</x:v>
      </x:c>
      <x:c r="O12" s="25" t="n">
        <x:f>IF('Setup'!$B$22&gt;0,"",SUM('Capacity'!Q6:Q8)*C12)</x:f>
        <x:v>0</x:v>
      </x:c>
      <x:c r="P12" s="1" t="str">
        <x:f>IF('Setup'!$B$22&gt;0,"",IF(C12=0,"Closed",INDEX('Processes'!$A$6:$A$8,MATCH(J12,G12:I12,0))))</x:f>
        <x:v>Closed</x:v>
      </x:c>
      <x:c r="Q12" s="1" t="n">
        <x:f>IF('Setup'!$B$22&gt;0,"",IF(C12=0,0,MAX(0,ROUNDUP(F12/'Capacity'!X6-'Capacity'!Y6,0)-'Capacity'!G6)))</x:f>
        <x:v>0</x:v>
      </x:c>
      <x:c r="R12" s="1" t="n">
        <x:f>IF('Setup'!$B$22&gt;0,"",IF(C12=0,0,MAX(0,ROUNDUP(F12/'Capacity'!X7-'Capacity'!Y7,0)-'Capacity'!G7)))</x:f>
        <x:v>0</x:v>
      </x:c>
      <x:c r="S12" s="1" t="n">
        <x:f>IF('Setup'!$B$22&gt;0,"",IF(C12=0,0,MAX(0,ROUNDUP(F12/'Capacity'!X8-'Capacity'!Y8,0)-'Capacity'!G8)))</x:f>
        <x:v>0</x:v>
      </x:c>
      <x:c r="T12" s="1" t="str">
        <x:f>IF('Setup'!$B$22&gt;0,"",IF(C12=0,IF(L12&gt;'Setup'!$B$7,"Backlog on closed day","Closed"),IF(OR(V12&gt;0,W12&gt;0),"Resolve staffing limits",IF(U12&gt;0,"Resolve physical limit",IF(L12&gt;'Setup'!$B$7,"Close labor capacity gap",IF(L12&gt;0,"Backlog below threshold","Within daily capacity"))))))</x:f>
        <x:v>Backlog on closed day</x:v>
      </x:c>
      <x:c r="U12" s="1" t="n">
        <x:f>IF('Setup'!$B$22&gt;0,"",IF(C12=0,0,MAX(0,F12-INT(MIN('Capacity'!M6:M8)))))</x:f>
        <x:v>0</x:v>
      </x:c>
      <x:c r="V12" s="1" t="n">
        <x:f>IF('Setup'!$B$22&gt;0,"",SUM('Capacity'!T6:T8)*C12)</x:f>
        <x:v>0</x:v>
      </x:c>
      <x:c r="W12" s="1" t="n">
        <x:f>IF('Setup'!$B$22&gt;0,"",SUM('Capacity'!W6:W8)*C12)</x:f>
        <x:v>0</x:v>
      </x:c>
    </x:row>
    <x:row r="13" ht="23" customHeight="1">
      <x:c r="A13" s="20" t="n">
        <x:f>IF('Setup'!$B$22&gt;0,"",'Demand'!A13)</x:f>
        <x:v>46307</x:v>
      </x:c>
      <x:c r="B13" s="1" t="n">
        <x:f>IF('Setup'!$B$22&gt;0,"",'Demand'!B13)</x:f>
        <x:v>2</x:v>
      </x:c>
      <x:c r="C13" s="1" t="n">
        <x:f>IF('Setup'!$B$22&gt;0,"",'Demand'!C13)</x:f>
        <x:v>1</x:v>
      </x:c>
      <x:c r="D13" s="24" t="n">
        <x:f>IF('Setup'!$B$22&gt;0,"",ROUND('Demand'!D13*'Setup'!B17,0))</x:f>
        <x:v>7000</x:v>
      </x:c>
      <x:c r="E13" s="24" t="n">
        <x:f>IF('Setup'!$B$22&gt;0,"",L12)</x:f>
        <x:v>2600</x:v>
      </x:c>
      <x:c r="F13" s="24" t="n">
        <x:f>IF('Setup'!$B$22&gt;0,"",D13+E13)</x:f>
        <x:v>9600</x:v>
      </x:c>
      <x:c r="G13" s="24" t="n">
        <x:f>IF('Setup'!$B$22&gt;0,"",'Capacity'!N9*C13)</x:f>
        <x:v>7176</x:v>
      </x:c>
      <x:c r="H13" s="24" t="n">
        <x:f>IF('Setup'!$B$22&gt;0,"",'Capacity'!N10*C13)</x:f>
        <x:v>6458</x:v>
      </x:c>
      <x:c r="I13" s="24" t="n">
        <x:f>IF('Setup'!$B$22&gt;0,"",'Capacity'!N11*C13)</x:f>
        <x:v>5980</x:v>
      </x:c>
      <x:c r="J13" s="24" t="n">
        <x:f>IF('Setup'!$B$22&gt;0,"",MIN(G13:I13))</x:f>
        <x:v>5980</x:v>
      </x:c>
      <x:c r="K13" s="24" t="n">
        <x:f>IF('Setup'!$B$22&gt;0,"",MIN(F13,J13))</x:f>
        <x:v>5980</x:v>
      </x:c>
      <x:c r="L13" s="24" t="n">
        <x:f>IF('Setup'!$B$22&gt;0,"",MAX(0,F13-K13))</x:f>
        <x:v>3620</x:v>
      </x:c>
      <x:c r="M13" s="23" t="n">
        <x:f>IF('Setup'!$B$22&gt;0,"",IF(J13=0,0,K13/J13))</x:f>
        <x:v>1</x:v>
      </x:c>
      <x:c r="N13" s="25" t="n">
        <x:f>IF('Setup'!$B$22&gt;0,"",SUM('Capacity'!Z9:Z11)*C13)</x:f>
        <x:v>9332.480000000001</x:v>
      </x:c>
      <x:c r="O13" s="25" t="n">
        <x:f>IF('Setup'!$B$22&gt;0,"",SUM('Capacity'!Q9:Q11)*C13)</x:f>
        <x:v>0</x:v>
      </x:c>
      <x:c r="P13" s="1" t="str">
        <x:f>IF('Setup'!$B$22&gt;0,"",IF(C13=0,"Closed",INDEX('Processes'!$A$6:$A$8,MATCH(J13,G13:I13,0))))</x:f>
        <x:v>Ship</x:v>
      </x:c>
      <x:c r="Q13" s="1" t="n">
        <x:f>IF('Setup'!$B$22&gt;0,"",IF(C13=0,0,MAX(0,ROUNDUP(F13/'Capacity'!X9-'Capacity'!Y9,0)-'Capacity'!G9)))</x:f>
        <x:v>9</x:v>
      </x:c>
      <x:c r="R13" s="1" t="n">
        <x:f>IF('Setup'!$B$22&gt;0,"",IF(C13=0,0,MAX(0,ROUNDUP(F13/'Capacity'!X10-'Capacity'!Y10,0)-'Capacity'!G10)))</x:f>
        <x:v>9</x:v>
      </x:c>
      <x:c r="S13" s="1" t="n">
        <x:f>IF('Setup'!$B$22&gt;0,"",IF(C13=0,0,MAX(0,ROUNDUP(F13/'Capacity'!X11-'Capacity'!Y11,0)-'Capacity'!G11)))</x:f>
        <x:v>7</x:v>
      </x:c>
      <x:c r="T13" s="1" t="str">
        <x:f>IF('Setup'!$B$22&gt;0,"",IF(C13=0,IF(L13&gt;'Setup'!$B$7,"Backlog on closed day","Closed"),IF(OR(V13&gt;0,W13&gt;0),"Resolve staffing limits",IF(U13&gt;0,"Resolve physical limit",IF(L13&gt;'Setup'!$B$7,"Close labor capacity gap",IF(L13&gt;0,"Backlog below threshold","Within daily capacity"))))))</x:f>
        <x:v>Resolve physical limit</x:v>
      </x:c>
      <x:c r="U13" s="1" t="n">
        <x:f>IF('Setup'!$B$22&gt;0,"",IF(C13=0,0,MAX(0,F13-INT(MIN('Capacity'!M9:M11)))))</x:f>
        <x:v>1600</x:v>
      </x:c>
      <x:c r="V13" s="1" t="n">
        <x:f>IF('Setup'!$B$22&gt;0,"",SUM('Capacity'!T9:T11)*C13)</x:f>
        <x:v>0</x:v>
      </x:c>
      <x:c r="W13" s="1" t="n">
        <x:f>IF('Setup'!$B$22&gt;0,"",SUM('Capacity'!W9:W11)*C13)</x:f>
        <x:v>0</x:v>
      </x:c>
    </x:row>
    <x:row r="14" ht="23" customHeight="1">
      <x:c r="A14" s="20" t="n">
        <x:f>IF('Setup'!$B$22&gt;0,"",'Demand'!A14)</x:f>
        <x:v>46308</x:v>
      </x:c>
      <x:c r="B14" s="1" t="n">
        <x:f>IF('Setup'!$B$22&gt;0,"",'Demand'!B14)</x:f>
        <x:v>2</x:v>
      </x:c>
      <x:c r="C14" s="1" t="n">
        <x:f>IF('Setup'!$B$22&gt;0,"",'Demand'!C14)</x:f>
        <x:v>1</x:v>
      </x:c>
      <x:c r="D14" s="24" t="n">
        <x:f>IF('Setup'!$B$22&gt;0,"",ROUND('Demand'!D14*'Setup'!B17,0))</x:f>
        <x:v>7000</x:v>
      </x:c>
      <x:c r="E14" s="24" t="n">
        <x:f>IF('Setup'!$B$22&gt;0,"",L13)</x:f>
        <x:v>3620</x:v>
      </x:c>
      <x:c r="F14" s="24" t="n">
        <x:f>IF('Setup'!$B$22&gt;0,"",D14+E14)</x:f>
        <x:v>10620</x:v>
      </x:c>
      <x:c r="G14" s="24" t="n">
        <x:f>IF('Setup'!$B$22&gt;0,"",'Capacity'!N9*C14)</x:f>
        <x:v>7176</x:v>
      </x:c>
      <x:c r="H14" s="24" t="n">
        <x:f>IF('Setup'!$B$22&gt;0,"",'Capacity'!N10*C14)</x:f>
        <x:v>6458</x:v>
      </x:c>
      <x:c r="I14" s="24" t="n">
        <x:f>IF('Setup'!$B$22&gt;0,"",'Capacity'!N11*C14)</x:f>
        <x:v>5980</x:v>
      </x:c>
      <x:c r="J14" s="24" t="n">
        <x:f>IF('Setup'!$B$22&gt;0,"",MIN(G14:I14))</x:f>
        <x:v>5980</x:v>
      </x:c>
      <x:c r="K14" s="24" t="n">
        <x:f>IF('Setup'!$B$22&gt;0,"",MIN(F14,J14))</x:f>
        <x:v>5980</x:v>
      </x:c>
      <x:c r="L14" s="24" t="n">
        <x:f>IF('Setup'!$B$22&gt;0,"",MAX(0,F14-K14))</x:f>
        <x:v>4640</x:v>
      </x:c>
      <x:c r="M14" s="23" t="n">
        <x:f>IF('Setup'!$B$22&gt;0,"",IF(J14=0,0,K14/J14))</x:f>
        <x:v>1</x:v>
      </x:c>
      <x:c r="N14" s="25" t="n">
        <x:f>IF('Setup'!$B$22&gt;0,"",SUM('Capacity'!Z9:Z11)*C14)</x:f>
        <x:v>9332.480000000001</x:v>
      </x:c>
      <x:c r="O14" s="25" t="n">
        <x:f>IF('Setup'!$B$22&gt;0,"",SUM('Capacity'!Q9:Q11)*C14)</x:f>
        <x:v>0</x:v>
      </x:c>
      <x:c r="P14" s="1" t="str">
        <x:f>IF('Setup'!$B$22&gt;0,"",IF(C14=0,"Closed",INDEX('Processes'!$A$6:$A$8,MATCH(J14,G14:I14,0))))</x:f>
        <x:v>Ship</x:v>
      </x:c>
      <x:c r="Q14" s="1" t="n">
        <x:f>IF('Setup'!$B$22&gt;0,"",IF(C14=0,0,MAX(0,ROUNDUP(F14/'Capacity'!X9-'Capacity'!Y9,0)-'Capacity'!G9)))</x:f>
        <x:v>12</x:v>
      </x:c>
      <x:c r="R14" s="1" t="n">
        <x:f>IF('Setup'!$B$22&gt;0,"",IF(C14=0,0,MAX(0,ROUNDUP(F14/'Capacity'!X10-'Capacity'!Y10,0)-'Capacity'!G10)))</x:f>
        <x:v>12</x:v>
      </x:c>
      <x:c r="S14" s="1" t="n">
        <x:f>IF('Setup'!$B$22&gt;0,"",IF(C14=0,0,MAX(0,ROUNDUP(F14/'Capacity'!X11-'Capacity'!Y11,0)-'Capacity'!G11)))</x:f>
        <x:v>8</x:v>
      </x:c>
      <x:c r="T14" s="1" t="str">
        <x:f>IF('Setup'!$B$22&gt;0,"",IF(C14=0,IF(L14&gt;'Setup'!$B$7,"Backlog on closed day","Closed"),IF(OR(V14&gt;0,W14&gt;0),"Resolve staffing limits",IF(U14&gt;0,"Resolve physical limit",IF(L14&gt;'Setup'!$B$7,"Close labor capacity gap",IF(L14&gt;0,"Backlog below threshold","Within daily capacity"))))))</x:f>
        <x:v>Resolve physical limit</x:v>
      </x:c>
      <x:c r="U14" s="1" t="n">
        <x:f>IF('Setup'!$B$22&gt;0,"",IF(C14=0,0,MAX(0,F14-INT(MIN('Capacity'!M9:M11)))))</x:f>
        <x:v>2620</x:v>
      </x:c>
      <x:c r="V14" s="1" t="n">
        <x:f>IF('Setup'!$B$22&gt;0,"",SUM('Capacity'!T9:T11)*C14)</x:f>
        <x:v>0</x:v>
      </x:c>
      <x:c r="W14" s="1" t="n">
        <x:f>IF('Setup'!$B$22&gt;0,"",SUM('Capacity'!W9:W11)*C14)</x:f>
        <x:v>0</x:v>
      </x:c>
    </x:row>
    <x:row r="15" ht="23" customHeight="1">
      <x:c r="A15" s="20" t="n">
        <x:f>IF('Setup'!$B$22&gt;0,"",'Demand'!A15)</x:f>
        <x:v>46309</x:v>
      </x:c>
      <x:c r="B15" s="1" t="n">
        <x:f>IF('Setup'!$B$22&gt;0,"",'Demand'!B15)</x:f>
        <x:v>2</x:v>
      </x:c>
      <x:c r="C15" s="1" t="n">
        <x:f>IF('Setup'!$B$22&gt;0,"",'Demand'!C15)</x:f>
        <x:v>1</x:v>
      </x:c>
      <x:c r="D15" s="24" t="n">
        <x:f>IF('Setup'!$B$22&gt;0,"",ROUND('Demand'!D15*'Setup'!B17,0))</x:f>
        <x:v>7000</x:v>
      </x:c>
      <x:c r="E15" s="24" t="n">
        <x:f>IF('Setup'!$B$22&gt;0,"",L14)</x:f>
        <x:v>4640</x:v>
      </x:c>
      <x:c r="F15" s="24" t="n">
        <x:f>IF('Setup'!$B$22&gt;0,"",D15+E15)</x:f>
        <x:v>11640</x:v>
      </x:c>
      <x:c r="G15" s="24" t="n">
        <x:f>IF('Setup'!$B$22&gt;0,"",'Capacity'!N9*C15)</x:f>
        <x:v>7176</x:v>
      </x:c>
      <x:c r="H15" s="24" t="n">
        <x:f>IF('Setup'!$B$22&gt;0,"",'Capacity'!N10*C15)</x:f>
        <x:v>6458</x:v>
      </x:c>
      <x:c r="I15" s="24" t="n">
        <x:f>IF('Setup'!$B$22&gt;0,"",'Capacity'!N11*C15)</x:f>
        <x:v>5980</x:v>
      </x:c>
      <x:c r="J15" s="24" t="n">
        <x:f>IF('Setup'!$B$22&gt;0,"",MIN(G15:I15))</x:f>
        <x:v>5980</x:v>
      </x:c>
      <x:c r="K15" s="24" t="n">
        <x:f>IF('Setup'!$B$22&gt;0,"",MIN(F15,J15))</x:f>
        <x:v>5980</x:v>
      </x:c>
      <x:c r="L15" s="24" t="n">
        <x:f>IF('Setup'!$B$22&gt;0,"",MAX(0,F15-K15))</x:f>
        <x:v>5660</x:v>
      </x:c>
      <x:c r="M15" s="23" t="n">
        <x:f>IF('Setup'!$B$22&gt;0,"",IF(J15=0,0,K15/J15))</x:f>
        <x:v>1</x:v>
      </x:c>
      <x:c r="N15" s="25" t="n">
        <x:f>IF('Setup'!$B$22&gt;0,"",SUM('Capacity'!Z9:Z11)*C15)</x:f>
        <x:v>9332.480000000001</x:v>
      </x:c>
      <x:c r="O15" s="25" t="n">
        <x:f>IF('Setup'!$B$22&gt;0,"",SUM('Capacity'!Q9:Q11)*C15)</x:f>
        <x:v>0</x:v>
      </x:c>
      <x:c r="P15" s="1" t="str">
        <x:f>IF('Setup'!$B$22&gt;0,"",IF(C15=0,"Closed",INDEX('Processes'!$A$6:$A$8,MATCH(J15,G15:I15,0))))</x:f>
        <x:v>Ship</x:v>
      </x:c>
      <x:c r="Q15" s="1" t="n">
        <x:f>IF('Setup'!$B$22&gt;0,"",IF(C15=0,0,MAX(0,ROUNDUP(F15/'Capacity'!X9-'Capacity'!Y9,0)-'Capacity'!G9)))</x:f>
        <x:v>15</x:v>
      </x:c>
      <x:c r="R15" s="1" t="n">
        <x:f>IF('Setup'!$B$22&gt;0,"",IF(C15=0,0,MAX(0,ROUNDUP(F15/'Capacity'!X10-'Capacity'!Y10,0)-'Capacity'!G10)))</x:f>
        <x:v>15</x:v>
      </x:c>
      <x:c r="S15" s="1" t="n">
        <x:f>IF('Setup'!$B$22&gt;0,"",IF(C15=0,0,MAX(0,ROUNDUP(F15/'Capacity'!X11-'Capacity'!Y11,0)-'Capacity'!G11)))</x:f>
        <x:v>10</x:v>
      </x:c>
      <x:c r="T15" s="1" t="str">
        <x:f>IF('Setup'!$B$22&gt;0,"",IF(C15=0,IF(L15&gt;'Setup'!$B$7,"Backlog on closed day","Closed"),IF(OR(V15&gt;0,W15&gt;0),"Resolve staffing limits",IF(U15&gt;0,"Resolve physical limit",IF(L15&gt;'Setup'!$B$7,"Close labor capacity gap",IF(L15&gt;0,"Backlog below threshold","Within daily capacity"))))))</x:f>
        <x:v>Resolve physical limit</x:v>
      </x:c>
      <x:c r="U15" s="1" t="n">
        <x:f>IF('Setup'!$B$22&gt;0,"",IF(C15=0,0,MAX(0,F15-INT(MIN('Capacity'!M9:M11)))))</x:f>
        <x:v>3640</x:v>
      </x:c>
      <x:c r="V15" s="1" t="n">
        <x:f>IF('Setup'!$B$22&gt;0,"",SUM('Capacity'!T9:T11)*C15)</x:f>
        <x:v>0</x:v>
      </x:c>
      <x:c r="W15" s="1" t="n">
        <x:f>IF('Setup'!$B$22&gt;0,"",SUM('Capacity'!W9:W11)*C15)</x:f>
        <x:v>0</x:v>
      </x:c>
    </x:row>
    <x:row r="16" ht="23" customHeight="1">
      <x:c r="A16" s="20" t="n">
        <x:f>IF('Setup'!$B$22&gt;0,"",'Demand'!A16)</x:f>
        <x:v>46310</x:v>
      </x:c>
      <x:c r="B16" s="1" t="n">
        <x:f>IF('Setup'!$B$22&gt;0,"",'Demand'!B16)</x:f>
        <x:v>2</x:v>
      </x:c>
      <x:c r="C16" s="1" t="n">
        <x:f>IF('Setup'!$B$22&gt;0,"",'Demand'!C16)</x:f>
        <x:v>1</x:v>
      </x:c>
      <x:c r="D16" s="24" t="n">
        <x:f>IF('Setup'!$B$22&gt;0,"",ROUND('Demand'!D16*'Setup'!B17,0))</x:f>
        <x:v>7000</x:v>
      </x:c>
      <x:c r="E16" s="24" t="n">
        <x:f>IF('Setup'!$B$22&gt;0,"",L15)</x:f>
        <x:v>5660</x:v>
      </x:c>
      <x:c r="F16" s="24" t="n">
        <x:f>IF('Setup'!$B$22&gt;0,"",D16+E16)</x:f>
        <x:v>12660</x:v>
      </x:c>
      <x:c r="G16" s="24" t="n">
        <x:f>IF('Setup'!$B$22&gt;0,"",'Capacity'!N9*C16)</x:f>
        <x:v>7176</x:v>
      </x:c>
      <x:c r="H16" s="24" t="n">
        <x:f>IF('Setup'!$B$22&gt;0,"",'Capacity'!N10*C16)</x:f>
        <x:v>6458</x:v>
      </x:c>
      <x:c r="I16" s="24" t="n">
        <x:f>IF('Setup'!$B$22&gt;0,"",'Capacity'!N11*C16)</x:f>
        <x:v>5980</x:v>
      </x:c>
      <x:c r="J16" s="24" t="n">
        <x:f>IF('Setup'!$B$22&gt;0,"",MIN(G16:I16))</x:f>
        <x:v>5980</x:v>
      </x:c>
      <x:c r="K16" s="24" t="n">
        <x:f>IF('Setup'!$B$22&gt;0,"",MIN(F16,J16))</x:f>
        <x:v>5980</x:v>
      </x:c>
      <x:c r="L16" s="24" t="n">
        <x:f>IF('Setup'!$B$22&gt;0,"",MAX(0,F16-K16))</x:f>
        <x:v>6680</x:v>
      </x:c>
      <x:c r="M16" s="23" t="n">
        <x:f>IF('Setup'!$B$22&gt;0,"",IF(J16=0,0,K16/J16))</x:f>
        <x:v>1</x:v>
      </x:c>
      <x:c r="N16" s="25" t="n">
        <x:f>IF('Setup'!$B$22&gt;0,"",SUM('Capacity'!Z9:Z11)*C16)</x:f>
        <x:v>9332.480000000001</x:v>
      </x:c>
      <x:c r="O16" s="25" t="n">
        <x:f>IF('Setup'!$B$22&gt;0,"",SUM('Capacity'!Q9:Q11)*C16)</x:f>
        <x:v>0</x:v>
      </x:c>
      <x:c r="P16" s="1" t="str">
        <x:f>IF('Setup'!$B$22&gt;0,"",IF(C16=0,"Closed",INDEX('Processes'!$A$6:$A$8,MATCH(J16,G16:I16,0))))</x:f>
        <x:v>Ship</x:v>
      </x:c>
      <x:c r="Q16" s="1" t="n">
        <x:f>IF('Setup'!$B$22&gt;0,"",IF(C16=0,0,MAX(0,ROUNDUP(F16/'Capacity'!X9-'Capacity'!Y9,0)-'Capacity'!G9)))</x:f>
        <x:v>19</x:v>
      </x:c>
      <x:c r="R16" s="1" t="n">
        <x:f>IF('Setup'!$B$22&gt;0,"",IF(C16=0,0,MAX(0,ROUNDUP(F16/'Capacity'!X10-'Capacity'!Y10,0)-'Capacity'!G10)))</x:f>
        <x:v>18</x:v>
      </x:c>
      <x:c r="S16" s="1" t="n">
        <x:f>IF('Setup'!$B$22&gt;0,"",IF(C16=0,0,MAX(0,ROUNDUP(F16/'Capacity'!X11-'Capacity'!Y11,0)-'Capacity'!G11)))</x:f>
        <x:v>12</x:v>
      </x:c>
      <x:c r="T16" s="1" t="str">
        <x:f>IF('Setup'!$B$22&gt;0,"",IF(C16=0,IF(L16&gt;'Setup'!$B$7,"Backlog on closed day","Closed"),IF(OR(V16&gt;0,W16&gt;0),"Resolve staffing limits",IF(U16&gt;0,"Resolve physical limit",IF(L16&gt;'Setup'!$B$7,"Close labor capacity gap",IF(L16&gt;0,"Backlog below threshold","Within daily capacity"))))))</x:f>
        <x:v>Resolve physical limit</x:v>
      </x:c>
      <x:c r="U16" s="1" t="n">
        <x:f>IF('Setup'!$B$22&gt;0,"",IF(C16=0,0,MAX(0,F16-INT(MIN('Capacity'!M9:M11)))))</x:f>
        <x:v>4660</x:v>
      </x:c>
      <x:c r="V16" s="1" t="n">
        <x:f>IF('Setup'!$B$22&gt;0,"",SUM('Capacity'!T9:T11)*C16)</x:f>
        <x:v>0</x:v>
      </x:c>
      <x:c r="W16" s="1" t="n">
        <x:f>IF('Setup'!$B$22&gt;0,"",SUM('Capacity'!W9:W11)*C16)</x:f>
        <x:v>0</x:v>
      </x:c>
    </x:row>
    <x:row r="17" ht="23" customHeight="1">
      <x:c r="A17" s="20" t="n">
        <x:f>IF('Setup'!$B$22&gt;0,"",'Demand'!A17)</x:f>
        <x:v>46311</x:v>
      </x:c>
      <x:c r="B17" s="1" t="n">
        <x:f>IF('Setup'!$B$22&gt;0,"",'Demand'!B17)</x:f>
        <x:v>2</x:v>
      </x:c>
      <x:c r="C17" s="1" t="n">
        <x:f>IF('Setup'!$B$22&gt;0,"",'Demand'!C17)</x:f>
        <x:v>1</x:v>
      </x:c>
      <x:c r="D17" s="24" t="n">
        <x:f>IF('Setup'!$B$22&gt;0,"",ROUND('Demand'!D17*'Setup'!B17,0))</x:f>
        <x:v>7000</x:v>
      </x:c>
      <x:c r="E17" s="24" t="n">
        <x:f>IF('Setup'!$B$22&gt;0,"",L16)</x:f>
        <x:v>6680</x:v>
      </x:c>
      <x:c r="F17" s="24" t="n">
        <x:f>IF('Setup'!$B$22&gt;0,"",D17+E17)</x:f>
        <x:v>13680</x:v>
      </x:c>
      <x:c r="G17" s="24" t="n">
        <x:f>IF('Setup'!$B$22&gt;0,"",'Capacity'!N9*C17)</x:f>
        <x:v>7176</x:v>
      </x:c>
      <x:c r="H17" s="24" t="n">
        <x:f>IF('Setup'!$B$22&gt;0,"",'Capacity'!N10*C17)</x:f>
        <x:v>6458</x:v>
      </x:c>
      <x:c r="I17" s="24" t="n">
        <x:f>IF('Setup'!$B$22&gt;0,"",'Capacity'!N11*C17)</x:f>
        <x:v>5980</x:v>
      </x:c>
      <x:c r="J17" s="24" t="n">
        <x:f>IF('Setup'!$B$22&gt;0,"",MIN(G17:I17))</x:f>
        <x:v>5980</x:v>
      </x:c>
      <x:c r="K17" s="24" t="n">
        <x:f>IF('Setup'!$B$22&gt;0,"",MIN(F17,J17))</x:f>
        <x:v>5980</x:v>
      </x:c>
      <x:c r="L17" s="24" t="n">
        <x:f>IF('Setup'!$B$22&gt;0,"",MAX(0,F17-K17))</x:f>
        <x:v>7700</x:v>
      </x:c>
      <x:c r="M17" s="23" t="n">
        <x:f>IF('Setup'!$B$22&gt;0,"",IF(J17=0,0,K17/J17))</x:f>
        <x:v>1</x:v>
      </x:c>
      <x:c r="N17" s="25" t="n">
        <x:f>IF('Setup'!$B$22&gt;0,"",SUM('Capacity'!Z9:Z11)*C17)</x:f>
        <x:v>9332.480000000001</x:v>
      </x:c>
      <x:c r="O17" s="25" t="n">
        <x:f>IF('Setup'!$B$22&gt;0,"",SUM('Capacity'!Q9:Q11)*C17)</x:f>
        <x:v>0</x:v>
      </x:c>
      <x:c r="P17" s="1" t="str">
        <x:f>IF('Setup'!$B$22&gt;0,"",IF(C17=0,"Closed",INDEX('Processes'!$A$6:$A$8,MATCH(J17,G17:I17,0))))</x:f>
        <x:v>Ship</x:v>
      </x:c>
      <x:c r="Q17" s="1" t="n">
        <x:f>IF('Setup'!$B$22&gt;0,"",IF(C17=0,0,MAX(0,ROUNDUP(F17/'Capacity'!X9-'Capacity'!Y9,0)-'Capacity'!G9)))</x:f>
        <x:v>22</x:v>
      </x:c>
      <x:c r="R17" s="1" t="n">
        <x:f>IF('Setup'!$B$22&gt;0,"",IF(C17=0,0,MAX(0,ROUNDUP(F17/'Capacity'!X10-'Capacity'!Y10,0)-'Capacity'!G10)))</x:f>
        <x:v>21</x:v>
      </x:c>
      <x:c r="S17" s="1" t="n">
        <x:f>IF('Setup'!$B$22&gt;0,"",IF(C17=0,0,MAX(0,ROUNDUP(F17/'Capacity'!X11-'Capacity'!Y11,0)-'Capacity'!G11)))</x:f>
        <x:v>13</x:v>
      </x:c>
      <x:c r="T17" s="1" t="str">
        <x:f>IF('Setup'!$B$22&gt;0,"",IF(C17=0,IF(L17&gt;'Setup'!$B$7,"Backlog on closed day","Closed"),IF(OR(V17&gt;0,W17&gt;0),"Resolve staffing limits",IF(U17&gt;0,"Resolve physical limit",IF(L17&gt;'Setup'!$B$7,"Close labor capacity gap",IF(L17&gt;0,"Backlog below threshold","Within daily capacity"))))))</x:f>
        <x:v>Resolve physical limit</x:v>
      </x:c>
      <x:c r="U17" s="1" t="n">
        <x:f>IF('Setup'!$B$22&gt;0,"",IF(C17=0,0,MAX(0,F17-INT(MIN('Capacity'!M9:M11)))))</x:f>
        <x:v>5680</x:v>
      </x:c>
      <x:c r="V17" s="1" t="n">
        <x:f>IF('Setup'!$B$22&gt;0,"",SUM('Capacity'!T9:T11)*C17)</x:f>
        <x:v>0</x:v>
      </x:c>
      <x:c r="W17" s="1" t="n">
        <x:f>IF('Setup'!$B$22&gt;0,"",SUM('Capacity'!W9:W11)*C17)</x:f>
        <x:v>0</x:v>
      </x:c>
    </x:row>
    <x:row r="18" ht="23" customHeight="1">
      <x:c r="A18" s="20" t="n">
        <x:f>IF('Setup'!$B$22&gt;0,"",'Demand'!A18)</x:f>
        <x:v>46312</x:v>
      </x:c>
      <x:c r="B18" s="1" t="n">
        <x:f>IF('Setup'!$B$22&gt;0,"",'Demand'!B18)</x:f>
        <x:v>2</x:v>
      </x:c>
      <x:c r="C18" s="1" t="n">
        <x:f>IF('Setup'!$B$22&gt;0,"",'Demand'!C18)</x:f>
        <x:v>0</x:v>
      </x:c>
      <x:c r="D18" s="24" t="n">
        <x:f>IF('Setup'!$B$22&gt;0,"",ROUND('Demand'!D18*'Setup'!B17,0))</x:f>
        <x:v>0</x:v>
      </x:c>
      <x:c r="E18" s="24" t="n">
        <x:f>IF('Setup'!$B$22&gt;0,"",L17)</x:f>
        <x:v>7700</x:v>
      </x:c>
      <x:c r="F18" s="24" t="n">
        <x:f>IF('Setup'!$B$22&gt;0,"",D18+E18)</x:f>
        <x:v>7700</x:v>
      </x:c>
      <x:c r="G18" s="24" t="n">
        <x:f>IF('Setup'!$B$22&gt;0,"",'Capacity'!N9*C18)</x:f>
        <x:v>0</x:v>
      </x:c>
      <x:c r="H18" s="24" t="n">
        <x:f>IF('Setup'!$B$22&gt;0,"",'Capacity'!N10*C18)</x:f>
        <x:v>0</x:v>
      </x:c>
      <x:c r="I18" s="24" t="n">
        <x:f>IF('Setup'!$B$22&gt;0,"",'Capacity'!N11*C18)</x:f>
        <x:v>0</x:v>
      </x:c>
      <x:c r="J18" s="24" t="n">
        <x:f>IF('Setup'!$B$22&gt;0,"",MIN(G18:I18))</x:f>
        <x:v>0</x:v>
      </x:c>
      <x:c r="K18" s="24" t="n">
        <x:f>IF('Setup'!$B$22&gt;0,"",MIN(F18,J18))</x:f>
        <x:v>0</x:v>
      </x:c>
      <x:c r="L18" s="24" t="n">
        <x:f>IF('Setup'!$B$22&gt;0,"",MAX(0,F18-K18))</x:f>
        <x:v>7700</x:v>
      </x:c>
      <x:c r="M18" s="23" t="n">
        <x:f>IF('Setup'!$B$22&gt;0,"",IF(J18=0,0,K18/J18))</x:f>
        <x:v>0</x:v>
      </x:c>
      <x:c r="N18" s="25" t="n">
        <x:f>IF('Setup'!$B$22&gt;0,"",SUM('Capacity'!Z9:Z11)*C18)</x:f>
        <x:v>0</x:v>
      </x:c>
      <x:c r="O18" s="25" t="n">
        <x:f>IF('Setup'!$B$22&gt;0,"",SUM('Capacity'!Q9:Q11)*C18)</x:f>
        <x:v>0</x:v>
      </x:c>
      <x:c r="P18" s="1" t="str">
        <x:f>IF('Setup'!$B$22&gt;0,"",IF(C18=0,"Closed",INDEX('Processes'!$A$6:$A$8,MATCH(J18,G18:I18,0))))</x:f>
        <x:v>Closed</x:v>
      </x:c>
      <x:c r="Q18" s="1" t="n">
        <x:f>IF('Setup'!$B$22&gt;0,"",IF(C18=0,0,MAX(0,ROUNDUP(F18/'Capacity'!X9-'Capacity'!Y9,0)-'Capacity'!G9)))</x:f>
        <x:v>0</x:v>
      </x:c>
      <x:c r="R18" s="1" t="n">
        <x:f>IF('Setup'!$B$22&gt;0,"",IF(C18=0,0,MAX(0,ROUNDUP(F18/'Capacity'!X10-'Capacity'!Y10,0)-'Capacity'!G10)))</x:f>
        <x:v>0</x:v>
      </x:c>
      <x:c r="S18" s="1" t="n">
        <x:f>IF('Setup'!$B$22&gt;0,"",IF(C18=0,0,MAX(0,ROUNDUP(F18/'Capacity'!X11-'Capacity'!Y11,0)-'Capacity'!G11)))</x:f>
        <x:v>0</x:v>
      </x:c>
      <x:c r="T18" s="1" t="str">
        <x:f>IF('Setup'!$B$22&gt;0,"",IF(C18=0,IF(L18&gt;'Setup'!$B$7,"Backlog on closed day","Closed"),IF(OR(V18&gt;0,W18&gt;0),"Resolve staffing limits",IF(U18&gt;0,"Resolve physical limit",IF(L18&gt;'Setup'!$B$7,"Close labor capacity gap",IF(L18&gt;0,"Backlog below threshold","Within daily capacity"))))))</x:f>
        <x:v>Backlog on closed day</x:v>
      </x:c>
      <x:c r="U18" s="1" t="n">
        <x:f>IF('Setup'!$B$22&gt;0,"",IF(C18=0,0,MAX(0,F18-INT(MIN('Capacity'!M9:M11)))))</x:f>
        <x:v>0</x:v>
      </x:c>
      <x:c r="V18" s="1" t="n">
        <x:f>IF('Setup'!$B$22&gt;0,"",SUM('Capacity'!T9:T11)*C18)</x:f>
        <x:v>0</x:v>
      </x:c>
      <x:c r="W18" s="1" t="n">
        <x:f>IF('Setup'!$B$22&gt;0,"",SUM('Capacity'!W9:W11)*C18)</x:f>
        <x:v>0</x:v>
      </x:c>
    </x:row>
    <x:row r="19" ht="23" customHeight="1">
      <x:c r="A19" s="20" t="n">
        <x:f>IF('Setup'!$B$22&gt;0,"",'Demand'!A19)</x:f>
        <x:v>46313</x:v>
      </x:c>
      <x:c r="B19" s="1" t="n">
        <x:f>IF('Setup'!$B$22&gt;0,"",'Demand'!B19)</x:f>
        <x:v>2</x:v>
      </x:c>
      <x:c r="C19" s="1" t="n">
        <x:f>IF('Setup'!$B$22&gt;0,"",'Demand'!C19)</x:f>
        <x:v>0</x:v>
      </x:c>
      <x:c r="D19" s="24" t="n">
        <x:f>IF('Setup'!$B$22&gt;0,"",ROUND('Demand'!D19*'Setup'!B17,0))</x:f>
        <x:v>0</x:v>
      </x:c>
      <x:c r="E19" s="24" t="n">
        <x:f>IF('Setup'!$B$22&gt;0,"",L18)</x:f>
        <x:v>7700</x:v>
      </x:c>
      <x:c r="F19" s="24" t="n">
        <x:f>IF('Setup'!$B$22&gt;0,"",D19+E19)</x:f>
        <x:v>7700</x:v>
      </x:c>
      <x:c r="G19" s="24" t="n">
        <x:f>IF('Setup'!$B$22&gt;0,"",'Capacity'!N9*C19)</x:f>
        <x:v>0</x:v>
      </x:c>
      <x:c r="H19" s="24" t="n">
        <x:f>IF('Setup'!$B$22&gt;0,"",'Capacity'!N10*C19)</x:f>
        <x:v>0</x:v>
      </x:c>
      <x:c r="I19" s="24" t="n">
        <x:f>IF('Setup'!$B$22&gt;0,"",'Capacity'!N11*C19)</x:f>
        <x:v>0</x:v>
      </x:c>
      <x:c r="J19" s="24" t="n">
        <x:f>IF('Setup'!$B$22&gt;0,"",MIN(G19:I19))</x:f>
        <x:v>0</x:v>
      </x:c>
      <x:c r="K19" s="24" t="n">
        <x:f>IF('Setup'!$B$22&gt;0,"",MIN(F19,J19))</x:f>
        <x:v>0</x:v>
      </x:c>
      <x:c r="L19" s="24" t="n">
        <x:f>IF('Setup'!$B$22&gt;0,"",MAX(0,F19-K19))</x:f>
        <x:v>7700</x:v>
      </x:c>
      <x:c r="M19" s="23" t="n">
        <x:f>IF('Setup'!$B$22&gt;0,"",IF(J19=0,0,K19/J19))</x:f>
        <x:v>0</x:v>
      </x:c>
      <x:c r="N19" s="25" t="n">
        <x:f>IF('Setup'!$B$22&gt;0,"",SUM('Capacity'!Z9:Z11)*C19)</x:f>
        <x:v>0</x:v>
      </x:c>
      <x:c r="O19" s="25" t="n">
        <x:f>IF('Setup'!$B$22&gt;0,"",SUM('Capacity'!Q9:Q11)*C19)</x:f>
        <x:v>0</x:v>
      </x:c>
      <x:c r="P19" s="1" t="str">
        <x:f>IF('Setup'!$B$22&gt;0,"",IF(C19=0,"Closed",INDEX('Processes'!$A$6:$A$8,MATCH(J19,G19:I19,0))))</x:f>
        <x:v>Closed</x:v>
      </x:c>
      <x:c r="Q19" s="1" t="n">
        <x:f>IF('Setup'!$B$22&gt;0,"",IF(C19=0,0,MAX(0,ROUNDUP(F19/'Capacity'!X9-'Capacity'!Y9,0)-'Capacity'!G9)))</x:f>
        <x:v>0</x:v>
      </x:c>
      <x:c r="R19" s="1" t="n">
        <x:f>IF('Setup'!$B$22&gt;0,"",IF(C19=0,0,MAX(0,ROUNDUP(F19/'Capacity'!X10-'Capacity'!Y10,0)-'Capacity'!G10)))</x:f>
        <x:v>0</x:v>
      </x:c>
      <x:c r="S19" s="1" t="n">
        <x:f>IF('Setup'!$B$22&gt;0,"",IF(C19=0,0,MAX(0,ROUNDUP(F19/'Capacity'!X11-'Capacity'!Y11,0)-'Capacity'!G11)))</x:f>
        <x:v>0</x:v>
      </x:c>
      <x:c r="T19" s="1" t="str">
        <x:f>IF('Setup'!$B$22&gt;0,"",IF(C19=0,IF(L19&gt;'Setup'!$B$7,"Backlog on closed day","Closed"),IF(OR(V19&gt;0,W19&gt;0),"Resolve staffing limits",IF(U19&gt;0,"Resolve physical limit",IF(L19&gt;'Setup'!$B$7,"Close labor capacity gap",IF(L19&gt;0,"Backlog below threshold","Within daily capacity"))))))</x:f>
        <x:v>Backlog on closed day</x:v>
      </x:c>
      <x:c r="U19" s="1" t="n">
        <x:f>IF('Setup'!$B$22&gt;0,"",IF(C19=0,0,MAX(0,F19-INT(MIN('Capacity'!M9:M11)))))</x:f>
        <x:v>0</x:v>
      </x:c>
      <x:c r="V19" s="1" t="n">
        <x:f>IF('Setup'!$B$22&gt;0,"",SUM('Capacity'!T9:T11)*C19)</x:f>
        <x:v>0</x:v>
      </x:c>
      <x:c r="W19" s="1" t="n">
        <x:f>IF('Setup'!$B$22&gt;0,"",SUM('Capacity'!W9:W11)*C19)</x:f>
        <x:v>0</x:v>
      </x:c>
    </x:row>
    <x:row r="20" ht="23" customHeight="1">
      <x:c r="A20" s="20" t="n">
        <x:f>IF('Setup'!$B$22&gt;0,"",'Demand'!A20)</x:f>
        <x:v>46314</x:v>
      </x:c>
      <x:c r="B20" s="1" t="n">
        <x:f>IF('Setup'!$B$22&gt;0,"",'Demand'!B20)</x:f>
        <x:v>3</x:v>
      </x:c>
      <x:c r="C20" s="1" t="n">
        <x:f>IF('Setup'!$B$22&gt;0,"",'Demand'!C20)</x:f>
        <x:v>1</x:v>
      </x:c>
      <x:c r="D20" s="24" t="n">
        <x:f>IF('Setup'!$B$22&gt;0,"",ROUND('Demand'!D20*'Setup'!B17,0))</x:f>
        <x:v>8000</x:v>
      </x:c>
      <x:c r="E20" s="24" t="n">
        <x:f>IF('Setup'!$B$22&gt;0,"",L19)</x:f>
        <x:v>7700</x:v>
      </x:c>
      <x:c r="F20" s="24" t="n">
        <x:f>IF('Setup'!$B$22&gt;0,"",D20+E20)</x:f>
        <x:v>15700</x:v>
      </x:c>
      <x:c r="G20" s="24" t="n">
        <x:f>IF('Setup'!$B$22&gt;0,"",'Capacity'!N12*C20)</x:f>
        <x:v>7774</x:v>
      </x:c>
      <x:c r="H20" s="24" t="n">
        <x:f>IF('Setup'!$B$22&gt;0,"",'Capacity'!N13*C20)</x:f>
        <x:v>7176</x:v>
      </x:c>
      <x:c r="I20" s="24" t="n">
        <x:f>IF('Setup'!$B$22&gt;0,"",'Capacity'!N14*C20)</x:f>
        <x:v>6877</x:v>
      </x:c>
      <x:c r="J20" s="24" t="n">
        <x:f>IF('Setup'!$B$22&gt;0,"",MIN(G20:I20))</x:f>
        <x:v>6877</x:v>
      </x:c>
      <x:c r="K20" s="24" t="n">
        <x:f>IF('Setup'!$B$22&gt;0,"",MIN(F20,J20))</x:f>
        <x:v>6877</x:v>
      </x:c>
      <x:c r="L20" s="24" t="n">
        <x:f>IF('Setup'!$B$22&gt;0,"",MAX(0,F20-K20))</x:f>
        <x:v>8823</x:v>
      </x:c>
      <x:c r="M20" s="23" t="n">
        <x:f>IF('Setup'!$B$22&gt;0,"",IF(J20=0,0,K20/J20))</x:f>
        <x:v>1</x:v>
      </x:c>
      <x:c r="N20" s="25" t="n">
        <x:f>IF('Setup'!$B$22&gt;0,"",SUM('Capacity'!Z12:Z14)*C20)</x:f>
        <x:v>11319.68</x:v>
      </x:c>
      <x:c r="O20" s="25" t="n">
        <x:f>IF('Setup'!$B$22&gt;0,"",SUM('Capacity'!Q12:Q14)*C20)</x:f>
        <x:v>1987.1999999999996</x:v>
      </x:c>
      <x:c r="P20" s="1" t="str">
        <x:f>IF('Setup'!$B$22&gt;0,"",IF(C20=0,"Closed",INDEX('Processes'!$A$6:$A$8,MATCH(J20,G20:I20,0))))</x:f>
        <x:v>Ship</x:v>
      </x:c>
      <x:c r="Q20" s="1" t="n">
        <x:f>IF('Setup'!$B$22&gt;0,"",IF(C20=0,0,MAX(0,ROUNDUP(F20/'Capacity'!X12-'Capacity'!Y12,0)-'Capacity'!G12)))</x:f>
        <x:v>27</x:v>
      </x:c>
      <x:c r="R20" s="1" t="n">
        <x:f>IF('Setup'!$B$22&gt;0,"",IF(C20=0,0,MAX(0,ROUNDUP(F20/'Capacity'!X13-'Capacity'!Y13,0)-'Capacity'!G13)))</x:f>
        <x:v>24</x:v>
      </x:c>
      <x:c r="S20" s="1" t="n">
        <x:f>IF('Setup'!$B$22&gt;0,"",IF(C20=0,0,MAX(0,ROUNDUP(F20/'Capacity'!X14-'Capacity'!Y14,0)-'Capacity'!G14)))</x:f>
        <x:v>15</x:v>
      </x:c>
      <x:c r="T20" s="1" t="str">
        <x:f>IF('Setup'!$B$22&gt;0,"",IF(C20=0,IF(L20&gt;'Setup'!$B$7,"Backlog on closed day","Closed"),IF(OR(V20&gt;0,W20&gt;0),"Resolve staffing limits",IF(U20&gt;0,"Resolve physical limit",IF(L20&gt;'Setup'!$B$7,"Close labor capacity gap",IF(L20&gt;0,"Backlog below threshold","Within daily capacity"))))))</x:f>
        <x:v>Resolve physical limit</x:v>
      </x:c>
      <x:c r="U20" s="1" t="n">
        <x:f>IF('Setup'!$B$22&gt;0,"",IF(C20=0,0,MAX(0,F20-INT(MIN('Capacity'!M12:M14)))))</x:f>
        <x:v>7700</x:v>
      </x:c>
      <x:c r="V20" s="1" t="n">
        <x:f>IF('Setup'!$B$22&gt;0,"",SUM('Capacity'!T12:T14)*C20)</x:f>
        <x:v>0</x:v>
      </x:c>
      <x:c r="W20" s="1" t="n">
        <x:f>IF('Setup'!$B$22&gt;0,"",SUM('Capacity'!W12:W14)*C20)</x:f>
        <x:v>0</x:v>
      </x:c>
    </x:row>
    <x:row r="21" ht="23" customHeight="1">
      <x:c r="A21" s="20" t="n">
        <x:f>IF('Setup'!$B$22&gt;0,"",'Demand'!A21)</x:f>
        <x:v>46315</x:v>
      </x:c>
      <x:c r="B21" s="1" t="n">
        <x:f>IF('Setup'!$B$22&gt;0,"",'Demand'!B21)</x:f>
        <x:v>3</x:v>
      </x:c>
      <x:c r="C21" s="1" t="n">
        <x:f>IF('Setup'!$B$22&gt;0,"",'Demand'!C21)</x:f>
        <x:v>1</x:v>
      </x:c>
      <x:c r="D21" s="24" t="n">
        <x:f>IF('Setup'!$B$22&gt;0,"",ROUND('Demand'!D21*'Setup'!B17,0))</x:f>
        <x:v>8000</x:v>
      </x:c>
      <x:c r="E21" s="24" t="n">
        <x:f>IF('Setup'!$B$22&gt;0,"",L20)</x:f>
        <x:v>8823</x:v>
      </x:c>
      <x:c r="F21" s="24" t="n">
        <x:f>IF('Setup'!$B$22&gt;0,"",D21+E21)</x:f>
        <x:v>16823</x:v>
      </x:c>
      <x:c r="G21" s="24" t="n">
        <x:f>IF('Setup'!$B$22&gt;0,"",'Capacity'!N12*C21)</x:f>
        <x:v>7774</x:v>
      </x:c>
      <x:c r="H21" s="24" t="n">
        <x:f>IF('Setup'!$B$22&gt;0,"",'Capacity'!N13*C21)</x:f>
        <x:v>7176</x:v>
      </x:c>
      <x:c r="I21" s="24" t="n">
        <x:f>IF('Setup'!$B$22&gt;0,"",'Capacity'!N14*C21)</x:f>
        <x:v>6877</x:v>
      </x:c>
      <x:c r="J21" s="24" t="n">
        <x:f>IF('Setup'!$B$22&gt;0,"",MIN(G21:I21))</x:f>
        <x:v>6877</x:v>
      </x:c>
      <x:c r="K21" s="24" t="n">
        <x:f>IF('Setup'!$B$22&gt;0,"",MIN(F21,J21))</x:f>
        <x:v>6877</x:v>
      </x:c>
      <x:c r="L21" s="24" t="n">
        <x:f>IF('Setup'!$B$22&gt;0,"",MAX(0,F21-K21))</x:f>
        <x:v>9946</x:v>
      </x:c>
      <x:c r="M21" s="23" t="n">
        <x:f>IF('Setup'!$B$22&gt;0,"",IF(J21=0,0,K21/J21))</x:f>
        <x:v>1</x:v>
      </x:c>
      <x:c r="N21" s="25" t="n">
        <x:f>IF('Setup'!$B$22&gt;0,"",SUM('Capacity'!Z12:Z14)*C21)</x:f>
        <x:v>11319.68</x:v>
      </x:c>
      <x:c r="O21" s="25" t="n">
        <x:f>IF('Setup'!$B$22&gt;0,"",SUM('Capacity'!Q12:Q14)*C21)</x:f>
        <x:v>1987.1999999999996</x:v>
      </x:c>
      <x:c r="P21" s="1" t="str">
        <x:f>IF('Setup'!$B$22&gt;0,"",IF(C21=0,"Closed",INDEX('Processes'!$A$6:$A$8,MATCH(J21,G21:I21,0))))</x:f>
        <x:v>Ship</x:v>
      </x:c>
      <x:c r="Q21" s="1" t="n">
        <x:f>IF('Setup'!$B$22&gt;0,"",IF(C21=0,0,MAX(0,ROUNDUP(F21/'Capacity'!X12-'Capacity'!Y12,0)-'Capacity'!G12)))</x:f>
        <x:v>31</x:v>
      </x:c>
      <x:c r="R21" s="1" t="n">
        <x:f>IF('Setup'!$B$22&gt;0,"",IF(C21=0,0,MAX(0,ROUNDUP(F21/'Capacity'!X13-'Capacity'!Y13,0)-'Capacity'!G13)))</x:f>
        <x:v>27</x:v>
      </x:c>
      <x:c r="S21" s="1" t="n">
        <x:f>IF('Setup'!$B$22&gt;0,"",IF(C21=0,0,MAX(0,ROUNDUP(F21/'Capacity'!X14-'Capacity'!Y14,0)-'Capacity'!G14)))</x:f>
        <x:v>17</x:v>
      </x:c>
      <x:c r="T21" s="1" t="str">
        <x:f>IF('Setup'!$B$22&gt;0,"",IF(C21=0,IF(L21&gt;'Setup'!$B$7,"Backlog on closed day","Closed"),IF(OR(V21&gt;0,W21&gt;0),"Resolve staffing limits",IF(U21&gt;0,"Resolve physical limit",IF(L21&gt;'Setup'!$B$7,"Close labor capacity gap",IF(L21&gt;0,"Backlog below threshold","Within daily capacity"))))))</x:f>
        <x:v>Resolve physical limit</x:v>
      </x:c>
      <x:c r="U21" s="1" t="n">
        <x:f>IF('Setup'!$B$22&gt;0,"",IF(C21=0,0,MAX(0,F21-INT(MIN('Capacity'!M12:M14)))))</x:f>
        <x:v>8823</x:v>
      </x:c>
      <x:c r="V21" s="1" t="n">
        <x:f>IF('Setup'!$B$22&gt;0,"",SUM('Capacity'!T12:T14)*C21)</x:f>
        <x:v>0</x:v>
      </x:c>
      <x:c r="W21" s="1" t="n">
        <x:f>IF('Setup'!$B$22&gt;0,"",SUM('Capacity'!W12:W14)*C21)</x:f>
        <x:v>0</x:v>
      </x:c>
    </x:row>
    <x:row r="22" ht="23" customHeight="1">
      <x:c r="A22" s="20" t="n">
        <x:f>IF('Setup'!$B$22&gt;0,"",'Demand'!A22)</x:f>
        <x:v>46316</x:v>
      </x:c>
      <x:c r="B22" s="1" t="n">
        <x:f>IF('Setup'!$B$22&gt;0,"",'Demand'!B22)</x:f>
        <x:v>3</x:v>
      </x:c>
      <x:c r="C22" s="1" t="n">
        <x:f>IF('Setup'!$B$22&gt;0,"",'Demand'!C22)</x:f>
        <x:v>1</x:v>
      </x:c>
      <x:c r="D22" s="24" t="n">
        <x:f>IF('Setup'!$B$22&gt;0,"",ROUND('Demand'!D22*'Setup'!B17,0))</x:f>
        <x:v>8000</x:v>
      </x:c>
      <x:c r="E22" s="24" t="n">
        <x:f>IF('Setup'!$B$22&gt;0,"",L21)</x:f>
        <x:v>9946</x:v>
      </x:c>
      <x:c r="F22" s="24" t="n">
        <x:f>IF('Setup'!$B$22&gt;0,"",D22+E22)</x:f>
        <x:v>17946</x:v>
      </x:c>
      <x:c r="G22" s="24" t="n">
        <x:f>IF('Setup'!$B$22&gt;0,"",'Capacity'!N12*C22)</x:f>
        <x:v>7774</x:v>
      </x:c>
      <x:c r="H22" s="24" t="n">
        <x:f>IF('Setup'!$B$22&gt;0,"",'Capacity'!N13*C22)</x:f>
        <x:v>7176</x:v>
      </x:c>
      <x:c r="I22" s="24" t="n">
        <x:f>IF('Setup'!$B$22&gt;0,"",'Capacity'!N14*C22)</x:f>
        <x:v>6877</x:v>
      </x:c>
      <x:c r="J22" s="24" t="n">
        <x:f>IF('Setup'!$B$22&gt;0,"",MIN(G22:I22))</x:f>
        <x:v>6877</x:v>
      </x:c>
      <x:c r="K22" s="24" t="n">
        <x:f>IF('Setup'!$B$22&gt;0,"",MIN(F22,J22))</x:f>
        <x:v>6877</x:v>
      </x:c>
      <x:c r="L22" s="24" t="n">
        <x:f>IF('Setup'!$B$22&gt;0,"",MAX(0,F22-K22))</x:f>
        <x:v>11069</x:v>
      </x:c>
      <x:c r="M22" s="23" t="n">
        <x:f>IF('Setup'!$B$22&gt;0,"",IF(J22=0,0,K22/J22))</x:f>
        <x:v>1</x:v>
      </x:c>
      <x:c r="N22" s="25" t="n">
        <x:f>IF('Setup'!$B$22&gt;0,"",SUM('Capacity'!Z12:Z14)*C22)</x:f>
        <x:v>11319.68</x:v>
      </x:c>
      <x:c r="O22" s="25" t="n">
        <x:f>IF('Setup'!$B$22&gt;0,"",SUM('Capacity'!Q12:Q14)*C22)</x:f>
        <x:v>1987.1999999999996</x:v>
      </x:c>
      <x:c r="P22" s="1" t="str">
        <x:f>IF('Setup'!$B$22&gt;0,"",IF(C22=0,"Closed",INDEX('Processes'!$A$6:$A$8,MATCH(J22,G22:I22,0))))</x:f>
        <x:v>Ship</x:v>
      </x:c>
      <x:c r="Q22" s="1" t="n">
        <x:f>IF('Setup'!$B$22&gt;0,"",IF(C22=0,0,MAX(0,ROUNDUP(F22/'Capacity'!X12-'Capacity'!Y12,0)-'Capacity'!G12)))</x:f>
        <x:v>35</x:v>
      </x:c>
      <x:c r="R22" s="1" t="n">
        <x:f>IF('Setup'!$B$22&gt;0,"",IF(C22=0,0,MAX(0,ROUNDUP(F22/'Capacity'!X13-'Capacity'!Y13,0)-'Capacity'!G13)))</x:f>
        <x:v>31</x:v>
      </x:c>
      <x:c r="S22" s="1" t="n">
        <x:f>IF('Setup'!$B$22&gt;0,"",IF(C22=0,0,MAX(0,ROUNDUP(F22/'Capacity'!X14-'Capacity'!Y14,0)-'Capacity'!G14)))</x:f>
        <x:v>19</x:v>
      </x:c>
      <x:c r="T22" s="1" t="str">
        <x:f>IF('Setup'!$B$22&gt;0,"",IF(C22=0,IF(L22&gt;'Setup'!$B$7,"Backlog on closed day","Closed"),IF(OR(V22&gt;0,W22&gt;0),"Resolve staffing limits",IF(U22&gt;0,"Resolve physical limit",IF(L22&gt;'Setup'!$B$7,"Close labor capacity gap",IF(L22&gt;0,"Backlog below threshold","Within daily capacity"))))))</x:f>
        <x:v>Resolve physical limit</x:v>
      </x:c>
      <x:c r="U22" s="1" t="n">
        <x:f>IF('Setup'!$B$22&gt;0,"",IF(C22=0,0,MAX(0,F22-INT(MIN('Capacity'!M12:M14)))))</x:f>
        <x:v>9946</x:v>
      </x:c>
      <x:c r="V22" s="1" t="n">
        <x:f>IF('Setup'!$B$22&gt;0,"",SUM('Capacity'!T12:T14)*C22)</x:f>
        <x:v>0</x:v>
      </x:c>
      <x:c r="W22" s="1" t="n">
        <x:f>IF('Setup'!$B$22&gt;0,"",SUM('Capacity'!W12:W14)*C22)</x:f>
        <x:v>0</x:v>
      </x:c>
    </x:row>
    <x:row r="23" ht="23" customHeight="1">
      <x:c r="A23" s="20" t="n">
        <x:f>IF('Setup'!$B$22&gt;0,"",'Demand'!A23)</x:f>
        <x:v>46317</x:v>
      </x:c>
      <x:c r="B23" s="1" t="n">
        <x:f>IF('Setup'!$B$22&gt;0,"",'Demand'!B23)</x:f>
        <x:v>3</x:v>
      </x:c>
      <x:c r="C23" s="1" t="n">
        <x:f>IF('Setup'!$B$22&gt;0,"",'Demand'!C23)</x:f>
        <x:v>1</x:v>
      </x:c>
      <x:c r="D23" s="24" t="n">
        <x:f>IF('Setup'!$B$22&gt;0,"",ROUND('Demand'!D23*'Setup'!B17,0))</x:f>
        <x:v>8000</x:v>
      </x:c>
      <x:c r="E23" s="24" t="n">
        <x:f>IF('Setup'!$B$22&gt;0,"",L22)</x:f>
        <x:v>11069</x:v>
      </x:c>
      <x:c r="F23" s="24" t="n">
        <x:f>IF('Setup'!$B$22&gt;0,"",D23+E23)</x:f>
        <x:v>19069</x:v>
      </x:c>
      <x:c r="G23" s="24" t="n">
        <x:f>IF('Setup'!$B$22&gt;0,"",'Capacity'!N12*C23)</x:f>
        <x:v>7774</x:v>
      </x:c>
      <x:c r="H23" s="24" t="n">
        <x:f>IF('Setup'!$B$22&gt;0,"",'Capacity'!N13*C23)</x:f>
        <x:v>7176</x:v>
      </x:c>
      <x:c r="I23" s="24" t="n">
        <x:f>IF('Setup'!$B$22&gt;0,"",'Capacity'!N14*C23)</x:f>
        <x:v>6877</x:v>
      </x:c>
      <x:c r="J23" s="24" t="n">
        <x:f>IF('Setup'!$B$22&gt;0,"",MIN(G23:I23))</x:f>
        <x:v>6877</x:v>
      </x:c>
      <x:c r="K23" s="24" t="n">
        <x:f>IF('Setup'!$B$22&gt;0,"",MIN(F23,J23))</x:f>
        <x:v>6877</x:v>
      </x:c>
      <x:c r="L23" s="24" t="n">
        <x:f>IF('Setup'!$B$22&gt;0,"",MAX(0,F23-K23))</x:f>
        <x:v>12192</x:v>
      </x:c>
      <x:c r="M23" s="23" t="n">
        <x:f>IF('Setup'!$B$22&gt;0,"",IF(J23=0,0,K23/J23))</x:f>
        <x:v>1</x:v>
      </x:c>
      <x:c r="N23" s="25" t="n">
        <x:f>IF('Setup'!$B$22&gt;0,"",SUM('Capacity'!Z12:Z14)*C23)</x:f>
        <x:v>11319.68</x:v>
      </x:c>
      <x:c r="O23" s="25" t="n">
        <x:f>IF('Setup'!$B$22&gt;0,"",SUM('Capacity'!Q12:Q14)*C23)</x:f>
        <x:v>1987.1999999999996</x:v>
      </x:c>
      <x:c r="P23" s="1" t="str">
        <x:f>IF('Setup'!$B$22&gt;0,"",IF(C23=0,"Closed",INDEX('Processes'!$A$6:$A$8,MATCH(J23,G23:I23,0))))</x:f>
        <x:v>Ship</x:v>
      </x:c>
      <x:c r="Q23" s="1" t="n">
        <x:f>IF('Setup'!$B$22&gt;0,"",IF(C23=0,0,MAX(0,ROUNDUP(F23/'Capacity'!X12-'Capacity'!Y12,0)-'Capacity'!G12)))</x:f>
        <x:v>38</x:v>
      </x:c>
      <x:c r="R23" s="1" t="n">
        <x:f>IF('Setup'!$B$22&gt;0,"",IF(C23=0,0,MAX(0,ROUNDUP(F23/'Capacity'!X13-'Capacity'!Y13,0)-'Capacity'!G13)))</x:f>
        <x:v>34</x:v>
      </x:c>
      <x:c r="S23" s="1" t="n">
        <x:f>IF('Setup'!$B$22&gt;0,"",IF(C23=0,0,MAX(0,ROUNDUP(F23/'Capacity'!X14-'Capacity'!Y14,0)-'Capacity'!G14)))</x:f>
        <x:v>21</x:v>
      </x:c>
      <x:c r="T23" s="1" t="str">
        <x:f>IF('Setup'!$B$22&gt;0,"",IF(C23=0,IF(L23&gt;'Setup'!$B$7,"Backlog on closed day","Closed"),IF(OR(V23&gt;0,W23&gt;0),"Resolve staffing limits",IF(U23&gt;0,"Resolve physical limit",IF(L23&gt;'Setup'!$B$7,"Close labor capacity gap",IF(L23&gt;0,"Backlog below threshold","Within daily capacity"))))))</x:f>
        <x:v>Resolve physical limit</x:v>
      </x:c>
      <x:c r="U23" s="1" t="n">
        <x:f>IF('Setup'!$B$22&gt;0,"",IF(C23=0,0,MAX(0,F23-INT(MIN('Capacity'!M12:M14)))))</x:f>
        <x:v>11069</x:v>
      </x:c>
      <x:c r="V23" s="1" t="n">
        <x:f>IF('Setup'!$B$22&gt;0,"",SUM('Capacity'!T12:T14)*C23)</x:f>
        <x:v>0</x:v>
      </x:c>
      <x:c r="W23" s="1" t="n">
        <x:f>IF('Setup'!$B$22&gt;0,"",SUM('Capacity'!W12:W14)*C23)</x:f>
        <x:v>0</x:v>
      </x:c>
    </x:row>
    <x:row r="24" ht="23" customHeight="1">
      <x:c r="A24" s="20" t="n">
        <x:f>IF('Setup'!$B$22&gt;0,"",'Demand'!A24)</x:f>
        <x:v>46318</x:v>
      </x:c>
      <x:c r="B24" s="1" t="n">
        <x:f>IF('Setup'!$B$22&gt;0,"",'Demand'!B24)</x:f>
        <x:v>3</x:v>
      </x:c>
      <x:c r="C24" s="1" t="n">
        <x:f>IF('Setup'!$B$22&gt;0,"",'Demand'!C24)</x:f>
        <x:v>1</x:v>
      </x:c>
      <x:c r="D24" s="24" t="n">
        <x:f>IF('Setup'!$B$22&gt;0,"",ROUND('Demand'!D24*'Setup'!B17,0))</x:f>
        <x:v>8000</x:v>
      </x:c>
      <x:c r="E24" s="24" t="n">
        <x:f>IF('Setup'!$B$22&gt;0,"",L23)</x:f>
        <x:v>12192</x:v>
      </x:c>
      <x:c r="F24" s="24" t="n">
        <x:f>IF('Setup'!$B$22&gt;0,"",D24+E24)</x:f>
        <x:v>20192</x:v>
      </x:c>
      <x:c r="G24" s="24" t="n">
        <x:f>IF('Setup'!$B$22&gt;0,"",'Capacity'!N12*C24)</x:f>
        <x:v>7774</x:v>
      </x:c>
      <x:c r="H24" s="24" t="n">
        <x:f>IF('Setup'!$B$22&gt;0,"",'Capacity'!N13*C24)</x:f>
        <x:v>7176</x:v>
      </x:c>
      <x:c r="I24" s="24" t="n">
        <x:f>IF('Setup'!$B$22&gt;0,"",'Capacity'!N14*C24)</x:f>
        <x:v>6877</x:v>
      </x:c>
      <x:c r="J24" s="24" t="n">
        <x:f>IF('Setup'!$B$22&gt;0,"",MIN(G24:I24))</x:f>
        <x:v>6877</x:v>
      </x:c>
      <x:c r="K24" s="24" t="n">
        <x:f>IF('Setup'!$B$22&gt;0,"",MIN(F24,J24))</x:f>
        <x:v>6877</x:v>
      </x:c>
      <x:c r="L24" s="24" t="n">
        <x:f>IF('Setup'!$B$22&gt;0,"",MAX(0,F24-K24))</x:f>
        <x:v>13315</x:v>
      </x:c>
      <x:c r="M24" s="23" t="n">
        <x:f>IF('Setup'!$B$22&gt;0,"",IF(J24=0,0,K24/J24))</x:f>
        <x:v>1</x:v>
      </x:c>
      <x:c r="N24" s="25" t="n">
        <x:f>IF('Setup'!$B$22&gt;0,"",SUM('Capacity'!Z12:Z14)*C24)</x:f>
        <x:v>11319.68</x:v>
      </x:c>
      <x:c r="O24" s="25" t="n">
        <x:f>IF('Setup'!$B$22&gt;0,"",SUM('Capacity'!Q12:Q14)*C24)</x:f>
        <x:v>1987.1999999999996</x:v>
      </x:c>
      <x:c r="P24" s="1" t="str">
        <x:f>IF('Setup'!$B$22&gt;0,"",IF(C24=0,"Closed",INDEX('Processes'!$A$6:$A$8,MATCH(J24,G24:I24,0))))</x:f>
        <x:v>Ship</x:v>
      </x:c>
      <x:c r="Q24" s="1" t="n">
        <x:f>IF('Setup'!$B$22&gt;0,"",IF(C24=0,0,MAX(0,ROUNDUP(F24/'Capacity'!X12-'Capacity'!Y12,0)-'Capacity'!G12)))</x:f>
        <x:v>42</x:v>
      </x:c>
      <x:c r="R24" s="1" t="n">
        <x:f>IF('Setup'!$B$22&gt;0,"",IF(C24=0,0,MAX(0,ROUNDUP(F24/'Capacity'!X13-'Capacity'!Y13,0)-'Capacity'!G13)))</x:f>
        <x:v>37</x:v>
      </x:c>
      <x:c r="S24" s="1" t="n">
        <x:f>IF('Setup'!$B$22&gt;0,"",IF(C24=0,0,MAX(0,ROUNDUP(F24/'Capacity'!X14-'Capacity'!Y14,0)-'Capacity'!G14)))</x:f>
        <x:v>23</x:v>
      </x:c>
      <x:c r="T24" s="1" t="str">
        <x:f>IF('Setup'!$B$22&gt;0,"",IF(C24=0,IF(L24&gt;'Setup'!$B$7,"Backlog on closed day","Closed"),IF(OR(V24&gt;0,W24&gt;0),"Resolve staffing limits",IF(U24&gt;0,"Resolve physical limit",IF(L24&gt;'Setup'!$B$7,"Close labor capacity gap",IF(L24&gt;0,"Backlog below threshold","Within daily capacity"))))))</x:f>
        <x:v>Resolve physical limit</x:v>
      </x:c>
      <x:c r="U24" s="1" t="n">
        <x:f>IF('Setup'!$B$22&gt;0,"",IF(C24=0,0,MAX(0,F24-INT(MIN('Capacity'!M12:M14)))))</x:f>
        <x:v>12192</x:v>
      </x:c>
      <x:c r="V24" s="1" t="n">
        <x:f>IF('Setup'!$B$22&gt;0,"",SUM('Capacity'!T12:T14)*C24)</x:f>
        <x:v>0</x:v>
      </x:c>
      <x:c r="W24" s="1" t="n">
        <x:f>IF('Setup'!$B$22&gt;0,"",SUM('Capacity'!W12:W14)*C24)</x:f>
        <x:v>0</x:v>
      </x:c>
    </x:row>
    <x:row r="25" ht="23" customHeight="1">
      <x:c r="A25" s="20" t="n">
        <x:f>IF('Setup'!$B$22&gt;0,"",'Demand'!A25)</x:f>
        <x:v>46319</x:v>
      </x:c>
      <x:c r="B25" s="1" t="n">
        <x:f>IF('Setup'!$B$22&gt;0,"",'Demand'!B25)</x:f>
        <x:v>3</x:v>
      </x:c>
      <x:c r="C25" s="1" t="n">
        <x:f>IF('Setup'!$B$22&gt;0,"",'Demand'!C25)</x:f>
        <x:v>0</x:v>
      </x:c>
      <x:c r="D25" s="24" t="n">
        <x:f>IF('Setup'!$B$22&gt;0,"",ROUND('Demand'!D25*'Setup'!B17,0))</x:f>
        <x:v>0</x:v>
      </x:c>
      <x:c r="E25" s="24" t="n">
        <x:f>IF('Setup'!$B$22&gt;0,"",L24)</x:f>
        <x:v>13315</x:v>
      </x:c>
      <x:c r="F25" s="24" t="n">
        <x:f>IF('Setup'!$B$22&gt;0,"",D25+E25)</x:f>
        <x:v>13315</x:v>
      </x:c>
      <x:c r="G25" s="24" t="n">
        <x:f>IF('Setup'!$B$22&gt;0,"",'Capacity'!N12*C25)</x:f>
        <x:v>0</x:v>
      </x:c>
      <x:c r="H25" s="24" t="n">
        <x:f>IF('Setup'!$B$22&gt;0,"",'Capacity'!N13*C25)</x:f>
        <x:v>0</x:v>
      </x:c>
      <x:c r="I25" s="24" t="n">
        <x:f>IF('Setup'!$B$22&gt;0,"",'Capacity'!N14*C25)</x:f>
        <x:v>0</x:v>
      </x:c>
      <x:c r="J25" s="24" t="n">
        <x:f>IF('Setup'!$B$22&gt;0,"",MIN(G25:I25))</x:f>
        <x:v>0</x:v>
      </x:c>
      <x:c r="K25" s="24" t="n">
        <x:f>IF('Setup'!$B$22&gt;0,"",MIN(F25,J25))</x:f>
        <x:v>0</x:v>
      </x:c>
      <x:c r="L25" s="24" t="n">
        <x:f>IF('Setup'!$B$22&gt;0,"",MAX(0,F25-K25))</x:f>
        <x:v>13315</x:v>
      </x:c>
      <x:c r="M25" s="23" t="n">
        <x:f>IF('Setup'!$B$22&gt;0,"",IF(J25=0,0,K25/J25))</x:f>
        <x:v>0</x:v>
      </x:c>
      <x:c r="N25" s="25" t="n">
        <x:f>IF('Setup'!$B$22&gt;0,"",SUM('Capacity'!Z12:Z14)*C25)</x:f>
        <x:v>0</x:v>
      </x:c>
      <x:c r="O25" s="25" t="n">
        <x:f>IF('Setup'!$B$22&gt;0,"",SUM('Capacity'!Q12:Q14)*C25)</x:f>
        <x:v>0</x:v>
      </x:c>
      <x:c r="P25" s="1" t="str">
        <x:f>IF('Setup'!$B$22&gt;0,"",IF(C25=0,"Closed",INDEX('Processes'!$A$6:$A$8,MATCH(J25,G25:I25,0))))</x:f>
        <x:v>Closed</x:v>
      </x:c>
      <x:c r="Q25" s="1" t="n">
        <x:f>IF('Setup'!$B$22&gt;0,"",IF(C25=0,0,MAX(0,ROUNDUP(F25/'Capacity'!X12-'Capacity'!Y12,0)-'Capacity'!G12)))</x:f>
        <x:v>0</x:v>
      </x:c>
      <x:c r="R25" s="1" t="n">
        <x:f>IF('Setup'!$B$22&gt;0,"",IF(C25=0,0,MAX(0,ROUNDUP(F25/'Capacity'!X13-'Capacity'!Y13,0)-'Capacity'!G13)))</x:f>
        <x:v>0</x:v>
      </x:c>
      <x:c r="S25" s="1" t="n">
        <x:f>IF('Setup'!$B$22&gt;0,"",IF(C25=0,0,MAX(0,ROUNDUP(F25/'Capacity'!X14-'Capacity'!Y14,0)-'Capacity'!G14)))</x:f>
        <x:v>0</x:v>
      </x:c>
      <x:c r="T25" s="1" t="str">
        <x:f>IF('Setup'!$B$22&gt;0,"",IF(C25=0,IF(L25&gt;'Setup'!$B$7,"Backlog on closed day","Closed"),IF(OR(V25&gt;0,W25&gt;0),"Resolve staffing limits",IF(U25&gt;0,"Resolve physical limit",IF(L25&gt;'Setup'!$B$7,"Close labor capacity gap",IF(L25&gt;0,"Backlog below threshold","Within daily capacity"))))))</x:f>
        <x:v>Backlog on closed day</x:v>
      </x:c>
      <x:c r="U25" s="1" t="n">
        <x:f>IF('Setup'!$B$22&gt;0,"",IF(C25=0,0,MAX(0,F25-INT(MIN('Capacity'!M12:M14)))))</x:f>
        <x:v>0</x:v>
      </x:c>
      <x:c r="V25" s="1" t="n">
        <x:f>IF('Setup'!$B$22&gt;0,"",SUM('Capacity'!T12:T14)*C25)</x:f>
        <x:v>0</x:v>
      </x:c>
      <x:c r="W25" s="1" t="n">
        <x:f>IF('Setup'!$B$22&gt;0,"",SUM('Capacity'!W12:W14)*C25)</x:f>
        <x:v>0</x:v>
      </x:c>
    </x:row>
    <x:row r="26" ht="23" customHeight="1">
      <x:c r="A26" s="20" t="n">
        <x:f>IF('Setup'!$B$22&gt;0,"",'Demand'!A26)</x:f>
        <x:v>46320</x:v>
      </x:c>
      <x:c r="B26" s="1" t="n">
        <x:f>IF('Setup'!$B$22&gt;0,"",'Demand'!B26)</x:f>
        <x:v>3</x:v>
      </x:c>
      <x:c r="C26" s="1" t="n">
        <x:f>IF('Setup'!$B$22&gt;0,"",'Demand'!C26)</x:f>
        <x:v>0</x:v>
      </x:c>
      <x:c r="D26" s="24" t="n">
        <x:f>IF('Setup'!$B$22&gt;0,"",ROUND('Demand'!D26*'Setup'!B17,0))</x:f>
        <x:v>0</x:v>
      </x:c>
      <x:c r="E26" s="24" t="n">
        <x:f>IF('Setup'!$B$22&gt;0,"",L25)</x:f>
        <x:v>13315</x:v>
      </x:c>
      <x:c r="F26" s="24" t="n">
        <x:f>IF('Setup'!$B$22&gt;0,"",D26+E26)</x:f>
        <x:v>13315</x:v>
      </x:c>
      <x:c r="G26" s="24" t="n">
        <x:f>IF('Setup'!$B$22&gt;0,"",'Capacity'!N12*C26)</x:f>
        <x:v>0</x:v>
      </x:c>
      <x:c r="H26" s="24" t="n">
        <x:f>IF('Setup'!$B$22&gt;0,"",'Capacity'!N13*C26)</x:f>
        <x:v>0</x:v>
      </x:c>
      <x:c r="I26" s="24" t="n">
        <x:f>IF('Setup'!$B$22&gt;0,"",'Capacity'!N14*C26)</x:f>
        <x:v>0</x:v>
      </x:c>
      <x:c r="J26" s="24" t="n">
        <x:f>IF('Setup'!$B$22&gt;0,"",MIN(G26:I26))</x:f>
        <x:v>0</x:v>
      </x:c>
      <x:c r="K26" s="24" t="n">
        <x:f>IF('Setup'!$B$22&gt;0,"",MIN(F26,J26))</x:f>
        <x:v>0</x:v>
      </x:c>
      <x:c r="L26" s="24" t="n">
        <x:f>IF('Setup'!$B$22&gt;0,"",MAX(0,F26-K26))</x:f>
        <x:v>13315</x:v>
      </x:c>
      <x:c r="M26" s="23" t="n">
        <x:f>IF('Setup'!$B$22&gt;0,"",IF(J26=0,0,K26/J26))</x:f>
        <x:v>0</x:v>
      </x:c>
      <x:c r="N26" s="25" t="n">
        <x:f>IF('Setup'!$B$22&gt;0,"",SUM('Capacity'!Z12:Z14)*C26)</x:f>
        <x:v>0</x:v>
      </x:c>
      <x:c r="O26" s="25" t="n">
        <x:f>IF('Setup'!$B$22&gt;0,"",SUM('Capacity'!Q12:Q14)*C26)</x:f>
        <x:v>0</x:v>
      </x:c>
      <x:c r="P26" s="1" t="str">
        <x:f>IF('Setup'!$B$22&gt;0,"",IF(C26=0,"Closed",INDEX('Processes'!$A$6:$A$8,MATCH(J26,G26:I26,0))))</x:f>
        <x:v>Closed</x:v>
      </x:c>
      <x:c r="Q26" s="1" t="n">
        <x:f>IF('Setup'!$B$22&gt;0,"",IF(C26=0,0,MAX(0,ROUNDUP(F26/'Capacity'!X12-'Capacity'!Y12,0)-'Capacity'!G12)))</x:f>
        <x:v>0</x:v>
      </x:c>
      <x:c r="R26" s="1" t="n">
        <x:f>IF('Setup'!$B$22&gt;0,"",IF(C26=0,0,MAX(0,ROUNDUP(F26/'Capacity'!X13-'Capacity'!Y13,0)-'Capacity'!G13)))</x:f>
        <x:v>0</x:v>
      </x:c>
      <x:c r="S26" s="1" t="n">
        <x:f>IF('Setup'!$B$22&gt;0,"",IF(C26=0,0,MAX(0,ROUNDUP(F26/'Capacity'!X14-'Capacity'!Y14,0)-'Capacity'!G14)))</x:f>
        <x:v>0</x:v>
      </x:c>
      <x:c r="T26" s="1" t="str">
        <x:f>IF('Setup'!$B$22&gt;0,"",IF(C26=0,IF(L26&gt;'Setup'!$B$7,"Backlog on closed day","Closed"),IF(OR(V26&gt;0,W26&gt;0),"Resolve staffing limits",IF(U26&gt;0,"Resolve physical limit",IF(L26&gt;'Setup'!$B$7,"Close labor capacity gap",IF(L26&gt;0,"Backlog below threshold","Within daily capacity"))))))</x:f>
        <x:v>Backlog on closed day</x:v>
      </x:c>
      <x:c r="U26" s="1" t="n">
        <x:f>IF('Setup'!$B$22&gt;0,"",IF(C26=0,0,MAX(0,F26-INT(MIN('Capacity'!M12:M14)))))</x:f>
        <x:v>0</x:v>
      </x:c>
      <x:c r="V26" s="1" t="n">
        <x:f>IF('Setup'!$B$22&gt;0,"",SUM('Capacity'!T12:T14)*C26)</x:f>
        <x:v>0</x:v>
      </x:c>
      <x:c r="W26" s="1" t="n">
        <x:f>IF('Setup'!$B$22&gt;0,"",SUM('Capacity'!W12:W14)*C26)</x:f>
        <x:v>0</x:v>
      </x:c>
    </x:row>
    <x:row r="27" ht="23" customHeight="1">
      <x:c r="A27" s="20" t="n">
        <x:f>IF('Setup'!$B$22&gt;0,"",'Demand'!A27)</x:f>
        <x:v>46321</x:v>
      </x:c>
      <x:c r="B27" s="1" t="n">
        <x:f>IF('Setup'!$B$22&gt;0,"",'Demand'!B27)</x:f>
        <x:v>4</x:v>
      </x:c>
      <x:c r="C27" s="1" t="n">
        <x:f>IF('Setup'!$B$22&gt;0,"",'Demand'!C27)</x:f>
        <x:v>1</x:v>
      </x:c>
      <x:c r="D27" s="24" t="n">
        <x:f>IF('Setup'!$B$22&gt;0,"",ROUND('Demand'!D27*'Setup'!B17,0))</x:f>
        <x:v>8500</x:v>
      </x:c>
      <x:c r="E27" s="24" t="n">
        <x:f>IF('Setup'!$B$22&gt;0,"",L26)</x:f>
        <x:v>13315</x:v>
      </x:c>
      <x:c r="F27" s="24" t="n">
        <x:f>IF('Setup'!$B$22&gt;0,"",D27+E27)</x:f>
        <x:v>21815</x:v>
      </x:c>
      <x:c r="G27" s="24" t="n">
        <x:f>IF('Setup'!$B$22&gt;0,"",'Capacity'!N15*C27)</x:f>
        <x:v>7953</x:v>
      </x:c>
      <x:c r="H27" s="24" t="n">
        <x:f>IF('Setup'!$B$22&gt;0,"",'Capacity'!N16*C27)</x:f>
        <x:v>7391</x:v>
      </x:c>
      <x:c r="I27" s="24" t="n">
        <x:f>IF('Setup'!$B$22&gt;0,"",'Capacity'!N17*C27)</x:f>
        <x:v>7146</x:v>
      </x:c>
      <x:c r="J27" s="24" t="n">
        <x:f>IF('Setup'!$B$22&gt;0,"",MIN(G27:I27))</x:f>
        <x:v>7146</x:v>
      </x:c>
      <x:c r="K27" s="24" t="n">
        <x:f>IF('Setup'!$B$22&gt;0,"",MIN(F27,J27))</x:f>
        <x:v>7146</x:v>
      </x:c>
      <x:c r="L27" s="24" t="n">
        <x:f>IF('Setup'!$B$22&gt;0,"",MAX(0,F27-K27))</x:f>
        <x:v>14669</x:v>
      </x:c>
      <x:c r="M27" s="23" t="n">
        <x:f>IF('Setup'!$B$22&gt;0,"",IF(J27=0,0,K27/J27))</x:f>
        <x:v>1</x:v>
      </x:c>
      <x:c r="N27" s="25" t="n">
        <x:f>IF('Setup'!$B$22&gt;0,"",SUM('Capacity'!Z15:Z17)*C27)</x:f>
        <x:v>11319.68</x:v>
      </x:c>
      <x:c r="O27" s="25" t="n">
        <x:f>IF('Setup'!$B$22&gt;0,"",SUM('Capacity'!Q15:Q17)*C27)</x:f>
        <x:v>1987.1999999999996</x:v>
      </x:c>
      <x:c r="P27" s="1" t="str">
        <x:f>IF('Setup'!$B$22&gt;0,"",IF(C27=0,"Closed",INDEX('Processes'!$A$6:$A$8,MATCH(J27,G27:I27,0))))</x:f>
        <x:v>Ship</x:v>
      </x:c>
      <x:c r="Q27" s="1" t="n">
        <x:f>IF('Setup'!$B$22&gt;0,"",IF(C27=0,0,MAX(0,ROUNDUP(F27/'Capacity'!X15-'Capacity'!Y15,0)-'Capacity'!G15)))</x:f>
        <x:v>47</x:v>
      </x:c>
      <x:c r="R27" s="1" t="n">
        <x:f>IF('Setup'!$B$22&gt;0,"",IF(C27=0,0,MAX(0,ROUNDUP(F27/'Capacity'!X16-'Capacity'!Y16,0)-'Capacity'!G16)))</x:f>
        <x:v>41</x:v>
      </x:c>
      <x:c r="S27" s="1" t="n">
        <x:f>IF('Setup'!$B$22&gt;0,"",IF(C27=0,0,MAX(0,ROUNDUP(F27/'Capacity'!X17-'Capacity'!Y17,0)-'Capacity'!G17)))</x:f>
        <x:v>25</x:v>
      </x:c>
      <x:c r="T27" s="1" t="str">
        <x:f>IF('Setup'!$B$22&gt;0,"",IF(C27=0,IF(L27&gt;'Setup'!$B$7,"Backlog on closed day","Closed"),IF(OR(V27&gt;0,W27&gt;0),"Resolve staffing limits",IF(U27&gt;0,"Resolve physical limit",IF(L27&gt;'Setup'!$B$7,"Close labor capacity gap",IF(L27&gt;0,"Backlog below threshold","Within daily capacity"))))))</x:f>
        <x:v>Resolve physical limit</x:v>
      </x:c>
      <x:c r="U27" s="1" t="n">
        <x:f>IF('Setup'!$B$22&gt;0,"",IF(C27=0,0,MAX(0,F27-INT(MIN('Capacity'!M15:M17)))))</x:f>
        <x:v>13815</x:v>
      </x:c>
      <x:c r="V27" s="1" t="n">
        <x:f>IF('Setup'!$B$22&gt;0,"",SUM('Capacity'!T15:T17)*C27)</x:f>
        <x:v>0</x:v>
      </x:c>
      <x:c r="W27" s="1" t="n">
        <x:f>IF('Setup'!$B$22&gt;0,"",SUM('Capacity'!W15:W17)*C27)</x:f>
        <x:v>0</x:v>
      </x:c>
    </x:row>
    <x:row r="28" ht="23" customHeight="1">
      <x:c r="A28" s="20" t="n">
        <x:f>IF('Setup'!$B$22&gt;0,"",'Demand'!A28)</x:f>
        <x:v>46322</x:v>
      </x:c>
      <x:c r="B28" s="1" t="n">
        <x:f>IF('Setup'!$B$22&gt;0,"",'Demand'!B28)</x:f>
        <x:v>4</x:v>
      </x:c>
      <x:c r="C28" s="1" t="n">
        <x:f>IF('Setup'!$B$22&gt;0,"",'Demand'!C28)</x:f>
        <x:v>1</x:v>
      </x:c>
      <x:c r="D28" s="24" t="n">
        <x:f>IF('Setup'!$B$22&gt;0,"",ROUND('Demand'!D28*'Setup'!B17,0))</x:f>
        <x:v>8500</x:v>
      </x:c>
      <x:c r="E28" s="24" t="n">
        <x:f>IF('Setup'!$B$22&gt;0,"",L27)</x:f>
        <x:v>14669</x:v>
      </x:c>
      <x:c r="F28" s="24" t="n">
        <x:f>IF('Setup'!$B$22&gt;0,"",D28+E28)</x:f>
        <x:v>23169</x:v>
      </x:c>
      <x:c r="G28" s="24" t="n">
        <x:f>IF('Setup'!$B$22&gt;0,"",'Capacity'!N15*C28)</x:f>
        <x:v>7953</x:v>
      </x:c>
      <x:c r="H28" s="24" t="n">
        <x:f>IF('Setup'!$B$22&gt;0,"",'Capacity'!N16*C28)</x:f>
        <x:v>7391</x:v>
      </x:c>
      <x:c r="I28" s="24" t="n">
        <x:f>IF('Setup'!$B$22&gt;0,"",'Capacity'!N17*C28)</x:f>
        <x:v>7146</x:v>
      </x:c>
      <x:c r="J28" s="24" t="n">
        <x:f>IF('Setup'!$B$22&gt;0,"",MIN(G28:I28))</x:f>
        <x:v>7146</x:v>
      </x:c>
      <x:c r="K28" s="24" t="n">
        <x:f>IF('Setup'!$B$22&gt;0,"",MIN(F28,J28))</x:f>
        <x:v>7146</x:v>
      </x:c>
      <x:c r="L28" s="24" t="n">
        <x:f>IF('Setup'!$B$22&gt;0,"",MAX(0,F28-K28))</x:f>
        <x:v>16023</x:v>
      </x:c>
      <x:c r="M28" s="23" t="n">
        <x:f>IF('Setup'!$B$22&gt;0,"",IF(J28=0,0,K28/J28))</x:f>
        <x:v>1</x:v>
      </x:c>
      <x:c r="N28" s="25" t="n">
        <x:f>IF('Setup'!$B$22&gt;0,"",SUM('Capacity'!Z15:Z17)*C28)</x:f>
        <x:v>11319.68</x:v>
      </x:c>
      <x:c r="O28" s="25" t="n">
        <x:f>IF('Setup'!$B$22&gt;0,"",SUM('Capacity'!Q15:Q17)*C28)</x:f>
        <x:v>1987.1999999999996</x:v>
      </x:c>
      <x:c r="P28" s="1" t="str">
        <x:f>IF('Setup'!$B$22&gt;0,"",IF(C28=0,"Closed",INDEX('Processes'!$A$6:$A$8,MATCH(J28,G28:I28,0))))</x:f>
        <x:v>Ship</x:v>
      </x:c>
      <x:c r="Q28" s="1" t="n">
        <x:f>IF('Setup'!$B$22&gt;0,"",IF(C28=0,0,MAX(0,ROUNDUP(F28/'Capacity'!X15-'Capacity'!Y15,0)-'Capacity'!G15)))</x:f>
        <x:v>51</x:v>
      </x:c>
      <x:c r="R28" s="1" t="n">
        <x:f>IF('Setup'!$B$22&gt;0,"",IF(C28=0,0,MAX(0,ROUNDUP(F28/'Capacity'!X16-'Capacity'!Y16,0)-'Capacity'!G16)))</x:f>
        <x:v>44</x:v>
      </x:c>
      <x:c r="S28" s="1" t="n">
        <x:f>IF('Setup'!$B$22&gt;0,"",IF(C28=0,0,MAX(0,ROUNDUP(F28/'Capacity'!X17-'Capacity'!Y17,0)-'Capacity'!G17)))</x:f>
        <x:v>27</x:v>
      </x:c>
      <x:c r="T28" s="1" t="str">
        <x:f>IF('Setup'!$B$22&gt;0,"",IF(C28=0,IF(L28&gt;'Setup'!$B$7,"Backlog on closed day","Closed"),IF(OR(V28&gt;0,W28&gt;0),"Resolve staffing limits",IF(U28&gt;0,"Resolve physical limit",IF(L28&gt;'Setup'!$B$7,"Close labor capacity gap",IF(L28&gt;0,"Backlog below threshold","Within daily capacity"))))))</x:f>
        <x:v>Resolve physical limit</x:v>
      </x:c>
      <x:c r="U28" s="1" t="n">
        <x:f>IF('Setup'!$B$22&gt;0,"",IF(C28=0,0,MAX(0,F28-INT(MIN('Capacity'!M15:M17)))))</x:f>
        <x:v>15169</x:v>
      </x:c>
      <x:c r="V28" s="1" t="n">
        <x:f>IF('Setup'!$B$22&gt;0,"",SUM('Capacity'!T15:T17)*C28)</x:f>
        <x:v>0</x:v>
      </x:c>
      <x:c r="W28" s="1" t="n">
        <x:f>IF('Setup'!$B$22&gt;0,"",SUM('Capacity'!W15:W17)*C28)</x:f>
        <x:v>0</x:v>
      </x:c>
    </x:row>
    <x:row r="29" ht="23" customHeight="1">
      <x:c r="A29" s="20" t="n">
        <x:f>IF('Setup'!$B$22&gt;0,"",'Demand'!A29)</x:f>
        <x:v>46323</x:v>
      </x:c>
      <x:c r="B29" s="1" t="n">
        <x:f>IF('Setup'!$B$22&gt;0,"",'Demand'!B29)</x:f>
        <x:v>4</x:v>
      </x:c>
      <x:c r="C29" s="1" t="n">
        <x:f>IF('Setup'!$B$22&gt;0,"",'Demand'!C29)</x:f>
        <x:v>1</x:v>
      </x:c>
      <x:c r="D29" s="24" t="n">
        <x:f>IF('Setup'!$B$22&gt;0,"",ROUND('Demand'!D29*'Setup'!B17,0))</x:f>
        <x:v>8500</x:v>
      </x:c>
      <x:c r="E29" s="24" t="n">
        <x:f>IF('Setup'!$B$22&gt;0,"",L28)</x:f>
        <x:v>16023</x:v>
      </x:c>
      <x:c r="F29" s="24" t="n">
        <x:f>IF('Setup'!$B$22&gt;0,"",D29+E29)</x:f>
        <x:v>24523</x:v>
      </x:c>
      <x:c r="G29" s="24" t="n">
        <x:f>IF('Setup'!$B$22&gt;0,"",'Capacity'!N15*C29)</x:f>
        <x:v>7953</x:v>
      </x:c>
      <x:c r="H29" s="24" t="n">
        <x:f>IF('Setup'!$B$22&gt;0,"",'Capacity'!N16*C29)</x:f>
        <x:v>7391</x:v>
      </x:c>
      <x:c r="I29" s="24" t="n">
        <x:f>IF('Setup'!$B$22&gt;0,"",'Capacity'!N17*C29)</x:f>
        <x:v>7146</x:v>
      </x:c>
      <x:c r="J29" s="24" t="n">
        <x:f>IF('Setup'!$B$22&gt;0,"",MIN(G29:I29))</x:f>
        <x:v>7146</x:v>
      </x:c>
      <x:c r="K29" s="24" t="n">
        <x:f>IF('Setup'!$B$22&gt;0,"",MIN(F29,J29))</x:f>
        <x:v>7146</x:v>
      </x:c>
      <x:c r="L29" s="24" t="n">
        <x:f>IF('Setup'!$B$22&gt;0,"",MAX(0,F29-K29))</x:f>
        <x:v>17377</x:v>
      </x:c>
      <x:c r="M29" s="23" t="n">
        <x:f>IF('Setup'!$B$22&gt;0,"",IF(J29=0,0,K29/J29))</x:f>
        <x:v>1</x:v>
      </x:c>
      <x:c r="N29" s="25" t="n">
        <x:f>IF('Setup'!$B$22&gt;0,"",SUM('Capacity'!Z15:Z17)*C29)</x:f>
        <x:v>11319.68</x:v>
      </x:c>
      <x:c r="O29" s="25" t="n">
        <x:f>IF('Setup'!$B$22&gt;0,"",SUM('Capacity'!Q15:Q17)*C29)</x:f>
        <x:v>1987.1999999999996</x:v>
      </x:c>
      <x:c r="P29" s="1" t="str">
        <x:f>IF('Setup'!$B$22&gt;0,"",IF(C29=0,"Closed",INDEX('Processes'!$A$6:$A$8,MATCH(J29,G29:I29,0))))</x:f>
        <x:v>Ship</x:v>
      </x:c>
      <x:c r="Q29" s="1" t="n">
        <x:f>IF('Setup'!$B$22&gt;0,"",IF(C29=0,0,MAX(0,ROUNDUP(F29/'Capacity'!X15-'Capacity'!Y15,0)-'Capacity'!G15)))</x:f>
        <x:v>56</x:v>
      </x:c>
      <x:c r="R29" s="1" t="n">
        <x:f>IF('Setup'!$B$22&gt;0,"",IF(C29=0,0,MAX(0,ROUNDUP(F29/'Capacity'!X16-'Capacity'!Y16,0)-'Capacity'!G16)))</x:f>
        <x:v>48</x:v>
      </x:c>
      <x:c r="S29" s="1" t="n">
        <x:f>IF('Setup'!$B$22&gt;0,"",IF(C29=0,0,MAX(0,ROUNDUP(F29/'Capacity'!X17-'Capacity'!Y17,0)-'Capacity'!G17)))</x:f>
        <x:v>30</x:v>
      </x:c>
      <x:c r="T29" s="1" t="str">
        <x:f>IF('Setup'!$B$22&gt;0,"",IF(C29=0,IF(L29&gt;'Setup'!$B$7,"Backlog on closed day","Closed"),IF(OR(V29&gt;0,W29&gt;0),"Resolve staffing limits",IF(U29&gt;0,"Resolve physical limit",IF(L29&gt;'Setup'!$B$7,"Close labor capacity gap",IF(L29&gt;0,"Backlog below threshold","Within daily capacity"))))))</x:f>
        <x:v>Resolve physical limit</x:v>
      </x:c>
      <x:c r="U29" s="1" t="n">
        <x:f>IF('Setup'!$B$22&gt;0,"",IF(C29=0,0,MAX(0,F29-INT(MIN('Capacity'!M15:M17)))))</x:f>
        <x:v>16523</x:v>
      </x:c>
      <x:c r="V29" s="1" t="n">
        <x:f>IF('Setup'!$B$22&gt;0,"",SUM('Capacity'!T15:T17)*C29)</x:f>
        <x:v>0</x:v>
      </x:c>
      <x:c r="W29" s="1" t="n">
        <x:f>IF('Setup'!$B$22&gt;0,"",SUM('Capacity'!W15:W17)*C29)</x:f>
        <x:v>0</x:v>
      </x:c>
    </x:row>
    <x:row r="30" ht="23" customHeight="1">
      <x:c r="A30" s="20" t="n">
        <x:f>IF('Setup'!$B$22&gt;0,"",'Demand'!A30)</x:f>
        <x:v>46324</x:v>
      </x:c>
      <x:c r="B30" s="1" t="n">
        <x:f>IF('Setup'!$B$22&gt;0,"",'Demand'!B30)</x:f>
        <x:v>4</x:v>
      </x:c>
      <x:c r="C30" s="1" t="n">
        <x:f>IF('Setup'!$B$22&gt;0,"",'Demand'!C30)</x:f>
        <x:v>1</x:v>
      </x:c>
      <x:c r="D30" s="24" t="n">
        <x:f>IF('Setup'!$B$22&gt;0,"",ROUND('Demand'!D30*'Setup'!B17,0))</x:f>
        <x:v>8500</x:v>
      </x:c>
      <x:c r="E30" s="24" t="n">
        <x:f>IF('Setup'!$B$22&gt;0,"",L29)</x:f>
        <x:v>17377</x:v>
      </x:c>
      <x:c r="F30" s="24" t="n">
        <x:f>IF('Setup'!$B$22&gt;0,"",D30+E30)</x:f>
        <x:v>25877</x:v>
      </x:c>
      <x:c r="G30" s="24" t="n">
        <x:f>IF('Setup'!$B$22&gt;0,"",'Capacity'!N15*C30)</x:f>
        <x:v>7953</x:v>
      </x:c>
      <x:c r="H30" s="24" t="n">
        <x:f>IF('Setup'!$B$22&gt;0,"",'Capacity'!N16*C30)</x:f>
        <x:v>7391</x:v>
      </x:c>
      <x:c r="I30" s="24" t="n">
        <x:f>IF('Setup'!$B$22&gt;0,"",'Capacity'!N17*C30)</x:f>
        <x:v>7146</x:v>
      </x:c>
      <x:c r="J30" s="24" t="n">
        <x:f>IF('Setup'!$B$22&gt;0,"",MIN(G30:I30))</x:f>
        <x:v>7146</x:v>
      </x:c>
      <x:c r="K30" s="24" t="n">
        <x:f>IF('Setup'!$B$22&gt;0,"",MIN(F30,J30))</x:f>
        <x:v>7146</x:v>
      </x:c>
      <x:c r="L30" s="24" t="n">
        <x:f>IF('Setup'!$B$22&gt;0,"",MAX(0,F30-K30))</x:f>
        <x:v>18731</x:v>
      </x:c>
      <x:c r="M30" s="23" t="n">
        <x:f>IF('Setup'!$B$22&gt;0,"",IF(J30=0,0,K30/J30))</x:f>
        <x:v>1</x:v>
      </x:c>
      <x:c r="N30" s="25" t="n">
        <x:f>IF('Setup'!$B$22&gt;0,"",SUM('Capacity'!Z15:Z17)*C30)</x:f>
        <x:v>11319.68</x:v>
      </x:c>
      <x:c r="O30" s="25" t="n">
        <x:f>IF('Setup'!$B$22&gt;0,"",SUM('Capacity'!Q15:Q17)*C30)</x:f>
        <x:v>1987.1999999999996</x:v>
      </x:c>
      <x:c r="P30" s="1" t="str">
        <x:f>IF('Setup'!$B$22&gt;0,"",IF(C30=0,"Closed",INDEX('Processes'!$A$6:$A$8,MATCH(J30,G30:I30,0))))</x:f>
        <x:v>Ship</x:v>
      </x:c>
      <x:c r="Q30" s="1" t="n">
        <x:f>IF('Setup'!$B$22&gt;0,"",IF(C30=0,0,MAX(0,ROUNDUP(F30/'Capacity'!X15-'Capacity'!Y15,0)-'Capacity'!G15)))</x:f>
        <x:v>60</x:v>
      </x:c>
      <x:c r="R30" s="1" t="n">
        <x:f>IF('Setup'!$B$22&gt;0,"",IF(C30=0,0,MAX(0,ROUNDUP(F30/'Capacity'!X16-'Capacity'!Y16,0)-'Capacity'!G16)))</x:f>
        <x:v>52</x:v>
      </x:c>
      <x:c r="S30" s="1" t="n">
        <x:f>IF('Setup'!$B$22&gt;0,"",IF(C30=0,0,MAX(0,ROUNDUP(F30/'Capacity'!X17-'Capacity'!Y17,0)-'Capacity'!G17)))</x:f>
        <x:v>32</x:v>
      </x:c>
      <x:c r="T30" s="1" t="str">
        <x:f>IF('Setup'!$B$22&gt;0,"",IF(C30=0,IF(L30&gt;'Setup'!$B$7,"Backlog on closed day","Closed"),IF(OR(V30&gt;0,W30&gt;0),"Resolve staffing limits",IF(U30&gt;0,"Resolve physical limit",IF(L30&gt;'Setup'!$B$7,"Close labor capacity gap",IF(L30&gt;0,"Backlog below threshold","Within daily capacity"))))))</x:f>
        <x:v>Resolve physical limit</x:v>
      </x:c>
      <x:c r="U30" s="1" t="n">
        <x:f>IF('Setup'!$B$22&gt;0,"",IF(C30=0,0,MAX(0,F30-INT(MIN('Capacity'!M15:M17)))))</x:f>
        <x:v>17877</x:v>
      </x:c>
      <x:c r="V30" s="1" t="n">
        <x:f>IF('Setup'!$B$22&gt;0,"",SUM('Capacity'!T15:T17)*C30)</x:f>
        <x:v>0</x:v>
      </x:c>
      <x:c r="W30" s="1" t="n">
        <x:f>IF('Setup'!$B$22&gt;0,"",SUM('Capacity'!W15:W17)*C30)</x:f>
        <x:v>0</x:v>
      </x:c>
    </x:row>
    <x:row r="31" ht="23" customHeight="1">
      <x:c r="A31" s="20" t="n">
        <x:f>IF('Setup'!$B$22&gt;0,"",'Demand'!A31)</x:f>
        <x:v>46325</x:v>
      </x:c>
      <x:c r="B31" s="1" t="n">
        <x:f>IF('Setup'!$B$22&gt;0,"",'Demand'!B31)</x:f>
        <x:v>4</x:v>
      </x:c>
      <x:c r="C31" s="1" t="n">
        <x:f>IF('Setup'!$B$22&gt;0,"",'Demand'!C31)</x:f>
        <x:v>1</x:v>
      </x:c>
      <x:c r="D31" s="24" t="n">
        <x:f>IF('Setup'!$B$22&gt;0,"",ROUND('Demand'!D31*'Setup'!B17,0))</x:f>
        <x:v>8500</x:v>
      </x:c>
      <x:c r="E31" s="24" t="n">
        <x:f>IF('Setup'!$B$22&gt;0,"",L30)</x:f>
        <x:v>18731</x:v>
      </x:c>
      <x:c r="F31" s="24" t="n">
        <x:f>IF('Setup'!$B$22&gt;0,"",D31+E31)</x:f>
        <x:v>27231</x:v>
      </x:c>
      <x:c r="G31" s="24" t="n">
        <x:f>IF('Setup'!$B$22&gt;0,"",'Capacity'!N15*C31)</x:f>
        <x:v>7953</x:v>
      </x:c>
      <x:c r="H31" s="24" t="n">
        <x:f>IF('Setup'!$B$22&gt;0,"",'Capacity'!N16*C31)</x:f>
        <x:v>7391</x:v>
      </x:c>
      <x:c r="I31" s="24" t="n">
        <x:f>IF('Setup'!$B$22&gt;0,"",'Capacity'!N17*C31)</x:f>
        <x:v>7146</x:v>
      </x:c>
      <x:c r="J31" s="24" t="n">
        <x:f>IF('Setup'!$B$22&gt;0,"",MIN(G31:I31))</x:f>
        <x:v>7146</x:v>
      </x:c>
      <x:c r="K31" s="24" t="n">
        <x:f>IF('Setup'!$B$22&gt;0,"",MIN(F31,J31))</x:f>
        <x:v>7146</x:v>
      </x:c>
      <x:c r="L31" s="24" t="n">
        <x:f>IF('Setup'!$B$22&gt;0,"",MAX(0,F31-K31))</x:f>
        <x:v>20085</x:v>
      </x:c>
      <x:c r="M31" s="23" t="n">
        <x:f>IF('Setup'!$B$22&gt;0,"",IF(J31=0,0,K31/J31))</x:f>
        <x:v>1</x:v>
      </x:c>
      <x:c r="N31" s="25" t="n">
        <x:f>IF('Setup'!$B$22&gt;0,"",SUM('Capacity'!Z15:Z17)*C31)</x:f>
        <x:v>11319.68</x:v>
      </x:c>
      <x:c r="O31" s="25" t="n">
        <x:f>IF('Setup'!$B$22&gt;0,"",SUM('Capacity'!Q15:Q17)*C31)</x:f>
        <x:v>1987.1999999999996</x:v>
      </x:c>
      <x:c r="P31" s="1" t="str">
        <x:f>IF('Setup'!$B$22&gt;0,"",IF(C31=0,"Closed",INDEX('Processes'!$A$6:$A$8,MATCH(J31,G31:I31,0))))</x:f>
        <x:v>Ship</x:v>
      </x:c>
      <x:c r="Q31" s="1" t="n">
        <x:f>IF('Setup'!$B$22&gt;0,"",IF(C31=0,0,MAX(0,ROUNDUP(F31/'Capacity'!X15-'Capacity'!Y15,0)-'Capacity'!G15)))</x:f>
        <x:v>65</x:v>
      </x:c>
      <x:c r="R31" s="1" t="n">
        <x:f>IF('Setup'!$B$22&gt;0,"",IF(C31=0,0,MAX(0,ROUNDUP(F31/'Capacity'!X16-'Capacity'!Y16,0)-'Capacity'!G16)))</x:f>
        <x:v>56</x:v>
      </x:c>
      <x:c r="S31" s="1" t="n">
        <x:f>IF('Setup'!$B$22&gt;0,"",IF(C31=0,0,MAX(0,ROUNDUP(F31/'Capacity'!X17-'Capacity'!Y17,0)-'Capacity'!G17)))</x:f>
        <x:v>34</x:v>
      </x:c>
      <x:c r="T31" s="1" t="str">
        <x:f>IF('Setup'!$B$22&gt;0,"",IF(C31=0,IF(L31&gt;'Setup'!$B$7,"Backlog on closed day","Closed"),IF(OR(V31&gt;0,W31&gt;0),"Resolve staffing limits",IF(U31&gt;0,"Resolve physical limit",IF(L31&gt;'Setup'!$B$7,"Close labor capacity gap",IF(L31&gt;0,"Backlog below threshold","Within daily capacity"))))))</x:f>
        <x:v>Resolve physical limit</x:v>
      </x:c>
      <x:c r="U31" s="1" t="n">
        <x:f>IF('Setup'!$B$22&gt;0,"",IF(C31=0,0,MAX(0,F31-INT(MIN('Capacity'!M15:M17)))))</x:f>
        <x:v>19231</x:v>
      </x:c>
      <x:c r="V31" s="1" t="n">
        <x:f>IF('Setup'!$B$22&gt;0,"",SUM('Capacity'!T15:T17)*C31)</x:f>
        <x:v>0</x:v>
      </x:c>
      <x:c r="W31" s="1" t="n">
        <x:f>IF('Setup'!$B$22&gt;0,"",SUM('Capacity'!W15:W17)*C31)</x:f>
        <x:v>0</x:v>
      </x:c>
    </x:row>
    <x:row r="32" ht="23" customHeight="1">
      <x:c r="A32" s="20" t="n">
        <x:f>IF('Setup'!$B$22&gt;0,"",'Demand'!A32)</x:f>
        <x:v>46326</x:v>
      </x:c>
      <x:c r="B32" s="1" t="n">
        <x:f>IF('Setup'!$B$22&gt;0,"",'Demand'!B32)</x:f>
        <x:v>4</x:v>
      </x:c>
      <x:c r="C32" s="1" t="n">
        <x:f>IF('Setup'!$B$22&gt;0,"",'Demand'!C32)</x:f>
        <x:v>0</x:v>
      </x:c>
      <x:c r="D32" s="24" t="n">
        <x:f>IF('Setup'!$B$22&gt;0,"",ROUND('Demand'!D32*'Setup'!B17,0))</x:f>
        <x:v>0</x:v>
      </x:c>
      <x:c r="E32" s="24" t="n">
        <x:f>IF('Setup'!$B$22&gt;0,"",L31)</x:f>
        <x:v>20085</x:v>
      </x:c>
      <x:c r="F32" s="24" t="n">
        <x:f>IF('Setup'!$B$22&gt;0,"",D32+E32)</x:f>
        <x:v>20085</x:v>
      </x:c>
      <x:c r="G32" s="24" t="n">
        <x:f>IF('Setup'!$B$22&gt;0,"",'Capacity'!N15*C32)</x:f>
        <x:v>0</x:v>
      </x:c>
      <x:c r="H32" s="24" t="n">
        <x:f>IF('Setup'!$B$22&gt;0,"",'Capacity'!N16*C32)</x:f>
        <x:v>0</x:v>
      </x:c>
      <x:c r="I32" s="24" t="n">
        <x:f>IF('Setup'!$B$22&gt;0,"",'Capacity'!N17*C32)</x:f>
        <x:v>0</x:v>
      </x:c>
      <x:c r="J32" s="24" t="n">
        <x:f>IF('Setup'!$B$22&gt;0,"",MIN(G32:I32))</x:f>
        <x:v>0</x:v>
      </x:c>
      <x:c r="K32" s="24" t="n">
        <x:f>IF('Setup'!$B$22&gt;0,"",MIN(F32,J32))</x:f>
        <x:v>0</x:v>
      </x:c>
      <x:c r="L32" s="24" t="n">
        <x:f>IF('Setup'!$B$22&gt;0,"",MAX(0,F32-K32))</x:f>
        <x:v>20085</x:v>
      </x:c>
      <x:c r="M32" s="23" t="n">
        <x:f>IF('Setup'!$B$22&gt;0,"",IF(J32=0,0,K32/J32))</x:f>
        <x:v>0</x:v>
      </x:c>
      <x:c r="N32" s="25" t="n">
        <x:f>IF('Setup'!$B$22&gt;0,"",SUM('Capacity'!Z15:Z17)*C32)</x:f>
        <x:v>0</x:v>
      </x:c>
      <x:c r="O32" s="25" t="n">
        <x:f>IF('Setup'!$B$22&gt;0,"",SUM('Capacity'!Q15:Q17)*C32)</x:f>
        <x:v>0</x:v>
      </x:c>
      <x:c r="P32" s="1" t="str">
        <x:f>IF('Setup'!$B$22&gt;0,"",IF(C32=0,"Closed",INDEX('Processes'!$A$6:$A$8,MATCH(J32,G32:I32,0))))</x:f>
        <x:v>Closed</x:v>
      </x:c>
      <x:c r="Q32" s="1" t="n">
        <x:f>IF('Setup'!$B$22&gt;0,"",IF(C32=0,0,MAX(0,ROUNDUP(F32/'Capacity'!X15-'Capacity'!Y15,0)-'Capacity'!G15)))</x:f>
        <x:v>0</x:v>
      </x:c>
      <x:c r="R32" s="1" t="n">
        <x:f>IF('Setup'!$B$22&gt;0,"",IF(C32=0,0,MAX(0,ROUNDUP(F32/'Capacity'!X16-'Capacity'!Y16,0)-'Capacity'!G16)))</x:f>
        <x:v>0</x:v>
      </x:c>
      <x:c r="S32" s="1" t="n">
        <x:f>IF('Setup'!$B$22&gt;0,"",IF(C32=0,0,MAX(0,ROUNDUP(F32/'Capacity'!X17-'Capacity'!Y17,0)-'Capacity'!G17)))</x:f>
        <x:v>0</x:v>
      </x:c>
      <x:c r="T32" s="1" t="str">
        <x:f>IF('Setup'!$B$22&gt;0,"",IF(C32=0,IF(L32&gt;'Setup'!$B$7,"Backlog on closed day","Closed"),IF(OR(V32&gt;0,W32&gt;0),"Resolve staffing limits",IF(U32&gt;0,"Resolve physical limit",IF(L32&gt;'Setup'!$B$7,"Close labor capacity gap",IF(L32&gt;0,"Backlog below threshold","Within daily capacity"))))))</x:f>
        <x:v>Backlog on closed day</x:v>
      </x:c>
      <x:c r="U32" s="1" t="n">
        <x:f>IF('Setup'!$B$22&gt;0,"",IF(C32=0,0,MAX(0,F32-INT(MIN('Capacity'!M15:M17)))))</x:f>
        <x:v>0</x:v>
      </x:c>
      <x:c r="V32" s="1" t="n">
        <x:f>IF('Setup'!$B$22&gt;0,"",SUM('Capacity'!T15:T17)*C32)</x:f>
        <x:v>0</x:v>
      </x:c>
      <x:c r="W32" s="1" t="n">
        <x:f>IF('Setup'!$B$22&gt;0,"",SUM('Capacity'!W15:W17)*C32)</x:f>
        <x:v>0</x:v>
      </x:c>
    </x:row>
    <x:row r="33" ht="23" customHeight="1">
      <x:c r="A33" s="20" t="n">
        <x:f>IF('Setup'!$B$22&gt;0,"",'Demand'!A33)</x:f>
        <x:v>46327</x:v>
      </x:c>
      <x:c r="B33" s="1" t="n">
        <x:f>IF('Setup'!$B$22&gt;0,"",'Demand'!B33)</x:f>
        <x:v>4</x:v>
      </x:c>
      <x:c r="C33" s="1" t="n">
        <x:f>IF('Setup'!$B$22&gt;0,"",'Demand'!C33)</x:f>
        <x:v>0</x:v>
      </x:c>
      <x:c r="D33" s="24" t="n">
        <x:f>IF('Setup'!$B$22&gt;0,"",ROUND('Demand'!D33*'Setup'!B17,0))</x:f>
        <x:v>0</x:v>
      </x:c>
      <x:c r="E33" s="24" t="n">
        <x:f>IF('Setup'!$B$22&gt;0,"",L32)</x:f>
        <x:v>20085</x:v>
      </x:c>
      <x:c r="F33" s="24" t="n">
        <x:f>IF('Setup'!$B$22&gt;0,"",D33+E33)</x:f>
        <x:v>20085</x:v>
      </x:c>
      <x:c r="G33" s="24" t="n">
        <x:f>IF('Setup'!$B$22&gt;0,"",'Capacity'!N15*C33)</x:f>
        <x:v>0</x:v>
      </x:c>
      <x:c r="H33" s="24" t="n">
        <x:f>IF('Setup'!$B$22&gt;0,"",'Capacity'!N16*C33)</x:f>
        <x:v>0</x:v>
      </x:c>
      <x:c r="I33" s="24" t="n">
        <x:f>IF('Setup'!$B$22&gt;0,"",'Capacity'!N17*C33)</x:f>
        <x:v>0</x:v>
      </x:c>
      <x:c r="J33" s="24" t="n">
        <x:f>IF('Setup'!$B$22&gt;0,"",MIN(G33:I33))</x:f>
        <x:v>0</x:v>
      </x:c>
      <x:c r="K33" s="24" t="n">
        <x:f>IF('Setup'!$B$22&gt;0,"",MIN(F33,J33))</x:f>
        <x:v>0</x:v>
      </x:c>
      <x:c r="L33" s="24" t="n">
        <x:f>IF('Setup'!$B$22&gt;0,"",MAX(0,F33-K33))</x:f>
        <x:v>20085</x:v>
      </x:c>
      <x:c r="M33" s="23" t="n">
        <x:f>IF('Setup'!$B$22&gt;0,"",IF(J33=0,0,K33/J33))</x:f>
        <x:v>0</x:v>
      </x:c>
      <x:c r="N33" s="25" t="n">
        <x:f>IF('Setup'!$B$22&gt;0,"",SUM('Capacity'!Z15:Z17)*C33)</x:f>
        <x:v>0</x:v>
      </x:c>
      <x:c r="O33" s="25" t="n">
        <x:f>IF('Setup'!$B$22&gt;0,"",SUM('Capacity'!Q15:Q17)*C33)</x:f>
        <x:v>0</x:v>
      </x:c>
      <x:c r="P33" s="1" t="str">
        <x:f>IF('Setup'!$B$22&gt;0,"",IF(C33=0,"Closed",INDEX('Processes'!$A$6:$A$8,MATCH(J33,G33:I33,0))))</x:f>
        <x:v>Closed</x:v>
      </x:c>
      <x:c r="Q33" s="1" t="n">
        <x:f>IF('Setup'!$B$22&gt;0,"",IF(C33=0,0,MAX(0,ROUNDUP(F33/'Capacity'!X15-'Capacity'!Y15,0)-'Capacity'!G15)))</x:f>
        <x:v>0</x:v>
      </x:c>
      <x:c r="R33" s="1" t="n">
        <x:f>IF('Setup'!$B$22&gt;0,"",IF(C33=0,0,MAX(0,ROUNDUP(F33/'Capacity'!X16-'Capacity'!Y16,0)-'Capacity'!G16)))</x:f>
        <x:v>0</x:v>
      </x:c>
      <x:c r="S33" s="1" t="n">
        <x:f>IF('Setup'!$B$22&gt;0,"",IF(C33=0,0,MAX(0,ROUNDUP(F33/'Capacity'!X17-'Capacity'!Y17,0)-'Capacity'!G17)))</x:f>
        <x:v>0</x:v>
      </x:c>
      <x:c r="T33" s="1" t="str">
        <x:f>IF('Setup'!$B$22&gt;0,"",IF(C33=0,IF(L33&gt;'Setup'!$B$7,"Backlog on closed day","Closed"),IF(OR(V33&gt;0,W33&gt;0),"Resolve staffing limits",IF(U33&gt;0,"Resolve physical limit",IF(L33&gt;'Setup'!$B$7,"Close labor capacity gap",IF(L33&gt;0,"Backlog below threshold","Within daily capacity"))))))</x:f>
        <x:v>Backlog on closed day</x:v>
      </x:c>
      <x:c r="U33" s="1" t="n">
        <x:f>IF('Setup'!$B$22&gt;0,"",IF(C33=0,0,MAX(0,F33-INT(MIN('Capacity'!M15:M17)))))</x:f>
        <x:v>0</x:v>
      </x:c>
      <x:c r="V33" s="1" t="n">
        <x:f>IF('Setup'!$B$22&gt;0,"",SUM('Capacity'!T15:T17)*C33)</x:f>
        <x:v>0</x:v>
      </x:c>
      <x:c r="W33" s="1" t="n">
        <x:f>IF('Setup'!$B$22&gt;0,"",SUM('Capacity'!W15:W17)*C33)</x:f>
        <x:v>0</x:v>
      </x:c>
    </x:row>
    <x:row r="34" ht="23" customHeight="1">
      <x:c r="A34" s="20" t="n">
        <x:f>IF('Setup'!$B$22&gt;0,"",'Demand'!A34)</x:f>
        <x:v>46328</x:v>
      </x:c>
      <x:c r="B34" s="1" t="n">
        <x:f>IF('Setup'!$B$22&gt;0,"",'Demand'!B34)</x:f>
        <x:v>5</x:v>
      </x:c>
      <x:c r="C34" s="1" t="n">
        <x:f>IF('Setup'!$B$22&gt;0,"",'Demand'!C34)</x:f>
        <x:v>1</x:v>
      </x:c>
      <x:c r="D34" s="24" t="n">
        <x:f>IF('Setup'!$B$22&gt;0,"",ROUND('Demand'!D34*'Setup'!B17,0))</x:f>
        <x:v>9000</x:v>
      </x:c>
      <x:c r="E34" s="24" t="n">
        <x:f>IF('Setup'!$B$22&gt;0,"",L33)</x:f>
        <x:v>20085</x:v>
      </x:c>
      <x:c r="F34" s="24" t="n">
        <x:f>IF('Setup'!$B$22&gt;0,"",D34+E34)</x:f>
        <x:v>29085</x:v>
      </x:c>
      <x:c r="G34" s="24" t="n">
        <x:f>IF('Setup'!$B$22&gt;0,"",'Capacity'!N18*C34)</x:f>
        <x:v>9258</x:v>
      </x:c>
      <x:c r="H34" s="24" t="n">
        <x:f>IF('Setup'!$B$22&gt;0,"",'Capacity'!N19*C34)</x:f>
        <x:v>8659</x:v>
      </x:c>
      <x:c r="I34" s="24" t="n">
        <x:f>IF('Setup'!$B$22&gt;0,"",'Capacity'!N20*C34)</x:f>
        <x:v>8000</x:v>
      </x:c>
      <x:c r="J34" s="24" t="n">
        <x:f>IF('Setup'!$B$22&gt;0,"",MIN(G34:I34))</x:f>
        <x:v>8000</x:v>
      </x:c>
      <x:c r="K34" s="24" t="n">
        <x:f>IF('Setup'!$B$22&gt;0,"",MIN(F34,J34))</x:f>
        <x:v>8000</x:v>
      </x:c>
      <x:c r="L34" s="24" t="n">
        <x:f>IF('Setup'!$B$22&gt;0,"",MAX(0,F34-K34))</x:f>
        <x:v>21085</x:v>
      </x:c>
      <x:c r="M34" s="23" t="n">
        <x:f>IF('Setup'!$B$22&gt;0,"",IF(J34=0,0,K34/J34))</x:f>
        <x:v>1</x:v>
      </x:c>
      <x:c r="N34" s="25" t="n">
        <x:f>IF('Setup'!$B$22&gt;0,"",SUM('Capacity'!Z18:Z20)*C34)</x:f>
        <x:v>13442.12</x:v>
      </x:c>
      <x:c r="O34" s="25" t="n">
        <x:f>IF('Setup'!$B$22&gt;0,"",SUM('Capacity'!Q18:Q20)*C34)</x:f>
        <x:v>4109.639999999999</x:v>
      </x:c>
      <x:c r="P34" s="1" t="str">
        <x:f>IF('Setup'!$B$22&gt;0,"",IF(C34=0,"Closed",INDEX('Processes'!$A$6:$A$8,MATCH(J34,G34:I34,0))))</x:f>
        <x:v>Ship</x:v>
      </x:c>
      <x:c r="Q34" s="1" t="n">
        <x:f>IF('Setup'!$B$22&gt;0,"",IF(C34=0,0,MAX(0,ROUNDUP(F34/'Capacity'!X18-'Capacity'!Y18,0)-'Capacity'!G18)))</x:f>
        <x:v>59</x:v>
      </x:c>
      <x:c r="R34" s="1" t="n">
        <x:f>IF('Setup'!$B$22&gt;0,"",IF(C34=0,0,MAX(0,ROUNDUP(F34/'Capacity'!X19-'Capacity'!Y19,0)-'Capacity'!G19)))</x:f>
        <x:v>51</x:v>
      </x:c>
      <x:c r="S34" s="1" t="n">
        <x:f>IF('Setup'!$B$22&gt;0,"",IF(C34=0,0,MAX(0,ROUNDUP(F34/'Capacity'!X20-'Capacity'!Y20,0)-'Capacity'!G20)))</x:f>
        <x:v>31</x:v>
      </x:c>
      <x:c r="T34" s="1" t="str">
        <x:f>IF('Setup'!$B$22&gt;0,"",IF(C34=0,IF(L34&gt;'Setup'!$B$7,"Backlog on closed day","Closed"),IF(OR(V34&gt;0,W34&gt;0),"Resolve staffing limits",IF(U34&gt;0,"Resolve physical limit",IF(L34&gt;'Setup'!$B$7,"Close labor capacity gap",IF(L34&gt;0,"Backlog below threshold","Within daily capacity"))))))</x:f>
        <x:v>Resolve physical limit</x:v>
      </x:c>
      <x:c r="U34" s="1" t="n">
        <x:f>IF('Setup'!$B$22&gt;0,"",IF(C34=0,0,MAX(0,F34-INT(MIN('Capacity'!M18:M20)))))</x:f>
        <x:v>21085</x:v>
      </x:c>
      <x:c r="V34" s="1" t="n">
        <x:f>IF('Setup'!$B$22&gt;0,"",SUM('Capacity'!T18:T20)*C34)</x:f>
        <x:v>0</x:v>
      </x:c>
      <x:c r="W34" s="1" t="n">
        <x:f>IF('Setup'!$B$22&gt;0,"",SUM('Capacity'!W18:W20)*C34)</x:f>
        <x:v>0</x:v>
      </x:c>
    </x:row>
    <x:row r="35" ht="23" customHeight="1">
      <x:c r="A35" s="20" t="n">
        <x:f>IF('Setup'!$B$22&gt;0,"",'Demand'!A35)</x:f>
        <x:v>46329</x:v>
      </x:c>
      <x:c r="B35" s="1" t="n">
        <x:f>IF('Setup'!$B$22&gt;0,"",'Demand'!B35)</x:f>
        <x:v>5</x:v>
      </x:c>
      <x:c r="C35" s="1" t="n">
        <x:f>IF('Setup'!$B$22&gt;0,"",'Demand'!C35)</x:f>
        <x:v>1</x:v>
      </x:c>
      <x:c r="D35" s="24" t="n">
        <x:f>IF('Setup'!$B$22&gt;0,"",ROUND('Demand'!D35*'Setup'!B17,0))</x:f>
        <x:v>9000</x:v>
      </x:c>
      <x:c r="E35" s="24" t="n">
        <x:f>IF('Setup'!$B$22&gt;0,"",L34)</x:f>
        <x:v>21085</x:v>
      </x:c>
      <x:c r="F35" s="24" t="n">
        <x:f>IF('Setup'!$B$22&gt;0,"",D35+E35)</x:f>
        <x:v>30085</x:v>
      </x:c>
      <x:c r="G35" s="24" t="n">
        <x:f>IF('Setup'!$B$22&gt;0,"",'Capacity'!N18*C35)</x:f>
        <x:v>9258</x:v>
      </x:c>
      <x:c r="H35" s="24" t="n">
        <x:f>IF('Setup'!$B$22&gt;0,"",'Capacity'!N19*C35)</x:f>
        <x:v>8659</x:v>
      </x:c>
      <x:c r="I35" s="24" t="n">
        <x:f>IF('Setup'!$B$22&gt;0,"",'Capacity'!N20*C35)</x:f>
        <x:v>8000</x:v>
      </x:c>
      <x:c r="J35" s="24" t="n">
        <x:f>IF('Setup'!$B$22&gt;0,"",MIN(G35:I35))</x:f>
        <x:v>8000</x:v>
      </x:c>
      <x:c r="K35" s="24" t="n">
        <x:f>IF('Setup'!$B$22&gt;0,"",MIN(F35,J35))</x:f>
        <x:v>8000</x:v>
      </x:c>
      <x:c r="L35" s="24" t="n">
        <x:f>IF('Setup'!$B$22&gt;0,"",MAX(0,F35-K35))</x:f>
        <x:v>22085</x:v>
      </x:c>
      <x:c r="M35" s="23" t="n">
        <x:f>IF('Setup'!$B$22&gt;0,"",IF(J35=0,0,K35/J35))</x:f>
        <x:v>1</x:v>
      </x:c>
      <x:c r="N35" s="25" t="n">
        <x:f>IF('Setup'!$B$22&gt;0,"",SUM('Capacity'!Z18:Z20)*C35)</x:f>
        <x:v>13442.12</x:v>
      </x:c>
      <x:c r="O35" s="25" t="n">
        <x:f>IF('Setup'!$B$22&gt;0,"",SUM('Capacity'!Q18:Q20)*C35)</x:f>
        <x:v>4109.639999999999</x:v>
      </x:c>
      <x:c r="P35" s="1" t="str">
        <x:f>IF('Setup'!$B$22&gt;0,"",IF(C35=0,"Closed",INDEX('Processes'!$A$6:$A$8,MATCH(J35,G35:I35,0))))</x:f>
        <x:v>Ship</x:v>
      </x:c>
      <x:c r="Q35" s="1" t="n">
        <x:f>IF('Setup'!$B$22&gt;0,"",IF(C35=0,0,MAX(0,ROUNDUP(F35/'Capacity'!X18-'Capacity'!Y18,0)-'Capacity'!G18)))</x:f>
        <x:v>62</x:v>
      </x:c>
      <x:c r="R35" s="1" t="n">
        <x:f>IF('Setup'!$B$22&gt;0,"",IF(C35=0,0,MAX(0,ROUNDUP(F35/'Capacity'!X19-'Capacity'!Y19,0)-'Capacity'!G19)))</x:f>
        <x:v>53</x:v>
      </x:c>
      <x:c r="S35" s="1" t="n">
        <x:f>IF('Setup'!$B$22&gt;0,"",IF(C35=0,0,MAX(0,ROUNDUP(F35/'Capacity'!X20-'Capacity'!Y20,0)-'Capacity'!G20)))</x:f>
        <x:v>32</x:v>
      </x:c>
      <x:c r="T35" s="1" t="str">
        <x:f>IF('Setup'!$B$22&gt;0,"",IF(C35=0,IF(L35&gt;'Setup'!$B$7,"Backlog on closed day","Closed"),IF(OR(V35&gt;0,W35&gt;0),"Resolve staffing limits",IF(U35&gt;0,"Resolve physical limit",IF(L35&gt;'Setup'!$B$7,"Close labor capacity gap",IF(L35&gt;0,"Backlog below threshold","Within daily capacity"))))))</x:f>
        <x:v>Resolve physical limit</x:v>
      </x:c>
      <x:c r="U35" s="1" t="n">
        <x:f>IF('Setup'!$B$22&gt;0,"",IF(C35=0,0,MAX(0,F35-INT(MIN('Capacity'!M18:M20)))))</x:f>
        <x:v>22085</x:v>
      </x:c>
      <x:c r="V35" s="1" t="n">
        <x:f>IF('Setup'!$B$22&gt;0,"",SUM('Capacity'!T18:T20)*C35)</x:f>
        <x:v>0</x:v>
      </x:c>
      <x:c r="W35" s="1" t="n">
        <x:f>IF('Setup'!$B$22&gt;0,"",SUM('Capacity'!W18:W20)*C35)</x:f>
        <x:v>0</x:v>
      </x:c>
    </x:row>
    <x:row r="36" ht="23" customHeight="1">
      <x:c r="A36" s="20" t="n">
        <x:f>IF('Setup'!$B$22&gt;0,"",'Demand'!A36)</x:f>
        <x:v>46330</x:v>
      </x:c>
      <x:c r="B36" s="1" t="n">
        <x:f>IF('Setup'!$B$22&gt;0,"",'Demand'!B36)</x:f>
        <x:v>5</x:v>
      </x:c>
      <x:c r="C36" s="1" t="n">
        <x:f>IF('Setup'!$B$22&gt;0,"",'Demand'!C36)</x:f>
        <x:v>1</x:v>
      </x:c>
      <x:c r="D36" s="24" t="n">
        <x:f>IF('Setup'!$B$22&gt;0,"",ROUND('Demand'!D36*'Setup'!B17,0))</x:f>
        <x:v>9000</x:v>
      </x:c>
      <x:c r="E36" s="24" t="n">
        <x:f>IF('Setup'!$B$22&gt;0,"",L35)</x:f>
        <x:v>22085</x:v>
      </x:c>
      <x:c r="F36" s="24" t="n">
        <x:f>IF('Setup'!$B$22&gt;0,"",D36+E36)</x:f>
        <x:v>31085</x:v>
      </x:c>
      <x:c r="G36" s="24" t="n">
        <x:f>IF('Setup'!$B$22&gt;0,"",'Capacity'!N18*C36)</x:f>
        <x:v>9258</x:v>
      </x:c>
      <x:c r="H36" s="24" t="n">
        <x:f>IF('Setup'!$B$22&gt;0,"",'Capacity'!N19*C36)</x:f>
        <x:v>8659</x:v>
      </x:c>
      <x:c r="I36" s="24" t="n">
        <x:f>IF('Setup'!$B$22&gt;0,"",'Capacity'!N20*C36)</x:f>
        <x:v>8000</x:v>
      </x:c>
      <x:c r="J36" s="24" t="n">
        <x:f>IF('Setup'!$B$22&gt;0,"",MIN(G36:I36))</x:f>
        <x:v>8000</x:v>
      </x:c>
      <x:c r="K36" s="24" t="n">
        <x:f>IF('Setup'!$B$22&gt;0,"",MIN(F36,J36))</x:f>
        <x:v>8000</x:v>
      </x:c>
      <x:c r="L36" s="24" t="n">
        <x:f>IF('Setup'!$B$22&gt;0,"",MAX(0,F36-K36))</x:f>
        <x:v>23085</x:v>
      </x:c>
      <x:c r="M36" s="23" t="n">
        <x:f>IF('Setup'!$B$22&gt;0,"",IF(J36=0,0,K36/J36))</x:f>
        <x:v>1</x:v>
      </x:c>
      <x:c r="N36" s="25" t="n">
        <x:f>IF('Setup'!$B$22&gt;0,"",SUM('Capacity'!Z18:Z20)*C36)</x:f>
        <x:v>13442.12</x:v>
      </x:c>
      <x:c r="O36" s="25" t="n">
        <x:f>IF('Setup'!$B$22&gt;0,"",SUM('Capacity'!Q18:Q20)*C36)</x:f>
        <x:v>4109.639999999999</x:v>
      </x:c>
      <x:c r="P36" s="1" t="str">
        <x:f>IF('Setup'!$B$22&gt;0,"",IF(C36=0,"Closed",INDEX('Processes'!$A$6:$A$8,MATCH(J36,G36:I36,0))))</x:f>
        <x:v>Ship</x:v>
      </x:c>
      <x:c r="Q36" s="1" t="n">
        <x:f>IF('Setup'!$B$22&gt;0,"",IF(C36=0,0,MAX(0,ROUNDUP(F36/'Capacity'!X18-'Capacity'!Y18,0)-'Capacity'!G18)))</x:f>
        <x:v>65</x:v>
      </x:c>
      <x:c r="R36" s="1" t="n">
        <x:f>IF('Setup'!$B$22&gt;0,"",IF(C36=0,0,MAX(0,ROUNDUP(F36/'Capacity'!X19-'Capacity'!Y19,0)-'Capacity'!G19)))</x:f>
        <x:v>55</x:v>
      </x:c>
      <x:c r="S36" s="1" t="n">
        <x:f>IF('Setup'!$B$22&gt;0,"",IF(C36=0,0,MAX(0,ROUNDUP(F36/'Capacity'!X20-'Capacity'!Y20,0)-'Capacity'!G20)))</x:f>
        <x:v>34</x:v>
      </x:c>
      <x:c r="T36" s="1" t="str">
        <x:f>IF('Setup'!$B$22&gt;0,"",IF(C36=0,IF(L36&gt;'Setup'!$B$7,"Backlog on closed day","Closed"),IF(OR(V36&gt;0,W36&gt;0),"Resolve staffing limits",IF(U36&gt;0,"Resolve physical limit",IF(L36&gt;'Setup'!$B$7,"Close labor capacity gap",IF(L36&gt;0,"Backlog below threshold","Within daily capacity"))))))</x:f>
        <x:v>Resolve physical limit</x:v>
      </x:c>
      <x:c r="U36" s="1" t="n">
        <x:f>IF('Setup'!$B$22&gt;0,"",IF(C36=0,0,MAX(0,F36-INT(MIN('Capacity'!M18:M20)))))</x:f>
        <x:v>23085</x:v>
      </x:c>
      <x:c r="V36" s="1" t="n">
        <x:f>IF('Setup'!$B$22&gt;0,"",SUM('Capacity'!T18:T20)*C36)</x:f>
        <x:v>0</x:v>
      </x:c>
      <x:c r="W36" s="1" t="n">
        <x:f>IF('Setup'!$B$22&gt;0,"",SUM('Capacity'!W18:W20)*C36)</x:f>
        <x:v>0</x:v>
      </x:c>
    </x:row>
    <x:row r="37" ht="23" customHeight="1">
      <x:c r="A37" s="20" t="n">
        <x:f>IF('Setup'!$B$22&gt;0,"",'Demand'!A37)</x:f>
        <x:v>46331</x:v>
      </x:c>
      <x:c r="B37" s="1" t="n">
        <x:f>IF('Setup'!$B$22&gt;0,"",'Demand'!B37)</x:f>
        <x:v>5</x:v>
      </x:c>
      <x:c r="C37" s="1" t="n">
        <x:f>IF('Setup'!$B$22&gt;0,"",'Demand'!C37)</x:f>
        <x:v>1</x:v>
      </x:c>
      <x:c r="D37" s="24" t="n">
        <x:f>IF('Setup'!$B$22&gt;0,"",ROUND('Demand'!D37*'Setup'!B17,0))</x:f>
        <x:v>9000</x:v>
      </x:c>
      <x:c r="E37" s="24" t="n">
        <x:f>IF('Setup'!$B$22&gt;0,"",L36)</x:f>
        <x:v>23085</x:v>
      </x:c>
      <x:c r="F37" s="24" t="n">
        <x:f>IF('Setup'!$B$22&gt;0,"",D37+E37)</x:f>
        <x:v>32085</x:v>
      </x:c>
      <x:c r="G37" s="24" t="n">
        <x:f>IF('Setup'!$B$22&gt;0,"",'Capacity'!N18*C37)</x:f>
        <x:v>9258</x:v>
      </x:c>
      <x:c r="H37" s="24" t="n">
        <x:f>IF('Setup'!$B$22&gt;0,"",'Capacity'!N19*C37)</x:f>
        <x:v>8659</x:v>
      </x:c>
      <x:c r="I37" s="24" t="n">
        <x:f>IF('Setup'!$B$22&gt;0,"",'Capacity'!N20*C37)</x:f>
        <x:v>8000</x:v>
      </x:c>
      <x:c r="J37" s="24" t="n">
        <x:f>IF('Setup'!$B$22&gt;0,"",MIN(G37:I37))</x:f>
        <x:v>8000</x:v>
      </x:c>
      <x:c r="K37" s="24" t="n">
        <x:f>IF('Setup'!$B$22&gt;0,"",MIN(F37,J37))</x:f>
        <x:v>8000</x:v>
      </x:c>
      <x:c r="L37" s="24" t="n">
        <x:f>IF('Setup'!$B$22&gt;0,"",MAX(0,F37-K37))</x:f>
        <x:v>24085</x:v>
      </x:c>
      <x:c r="M37" s="23" t="n">
        <x:f>IF('Setup'!$B$22&gt;0,"",IF(J37=0,0,K37/J37))</x:f>
        <x:v>1</x:v>
      </x:c>
      <x:c r="N37" s="25" t="n">
        <x:f>IF('Setup'!$B$22&gt;0,"",SUM('Capacity'!Z18:Z20)*C37)</x:f>
        <x:v>13442.12</x:v>
      </x:c>
      <x:c r="O37" s="25" t="n">
        <x:f>IF('Setup'!$B$22&gt;0,"",SUM('Capacity'!Q18:Q20)*C37)</x:f>
        <x:v>4109.639999999999</x:v>
      </x:c>
      <x:c r="P37" s="1" t="str">
        <x:f>IF('Setup'!$B$22&gt;0,"",IF(C37=0,"Closed",INDEX('Processes'!$A$6:$A$8,MATCH(J37,G37:I37,0))))</x:f>
        <x:v>Ship</x:v>
      </x:c>
      <x:c r="Q37" s="1" t="n">
        <x:f>IF('Setup'!$B$22&gt;0,"",IF(C37=0,0,MAX(0,ROUNDUP(F37/'Capacity'!X18-'Capacity'!Y18,0)-'Capacity'!G18)))</x:f>
        <x:v>68</x:v>
      </x:c>
      <x:c r="R37" s="1" t="n">
        <x:f>IF('Setup'!$B$22&gt;0,"",IF(C37=0,0,MAX(0,ROUNDUP(F37/'Capacity'!X19-'Capacity'!Y19,0)-'Capacity'!G19)))</x:f>
        <x:v>58</x:v>
      </x:c>
      <x:c r="S37" s="1" t="n">
        <x:f>IF('Setup'!$B$22&gt;0,"",IF(C37=0,0,MAX(0,ROUNDUP(F37/'Capacity'!X20-'Capacity'!Y20,0)-'Capacity'!G20)))</x:f>
        <x:v>35</x:v>
      </x:c>
      <x:c r="T37" s="1" t="str">
        <x:f>IF('Setup'!$B$22&gt;0,"",IF(C37=0,IF(L37&gt;'Setup'!$B$7,"Backlog on closed day","Closed"),IF(OR(V37&gt;0,W37&gt;0),"Resolve staffing limits",IF(U37&gt;0,"Resolve physical limit",IF(L37&gt;'Setup'!$B$7,"Close labor capacity gap",IF(L37&gt;0,"Backlog below threshold","Within daily capacity"))))))</x:f>
        <x:v>Resolve physical limit</x:v>
      </x:c>
      <x:c r="U37" s="1" t="n">
        <x:f>IF('Setup'!$B$22&gt;0,"",IF(C37=0,0,MAX(0,F37-INT(MIN('Capacity'!M18:M20)))))</x:f>
        <x:v>24085</x:v>
      </x:c>
      <x:c r="V37" s="1" t="n">
        <x:f>IF('Setup'!$B$22&gt;0,"",SUM('Capacity'!T18:T20)*C37)</x:f>
        <x:v>0</x:v>
      </x:c>
      <x:c r="W37" s="1" t="n">
        <x:f>IF('Setup'!$B$22&gt;0,"",SUM('Capacity'!W18:W20)*C37)</x:f>
        <x:v>0</x:v>
      </x:c>
    </x:row>
    <x:row r="38" ht="23" customHeight="1">
      <x:c r="A38" s="20" t="n">
        <x:f>IF('Setup'!$B$22&gt;0,"",'Demand'!A38)</x:f>
        <x:v>46332</x:v>
      </x:c>
      <x:c r="B38" s="1" t="n">
        <x:f>IF('Setup'!$B$22&gt;0,"",'Demand'!B38)</x:f>
        <x:v>5</x:v>
      </x:c>
      <x:c r="C38" s="1" t="n">
        <x:f>IF('Setup'!$B$22&gt;0,"",'Demand'!C38)</x:f>
        <x:v>1</x:v>
      </x:c>
      <x:c r="D38" s="24" t="n">
        <x:f>IF('Setup'!$B$22&gt;0,"",ROUND('Demand'!D38*'Setup'!B17,0))</x:f>
        <x:v>9000</x:v>
      </x:c>
      <x:c r="E38" s="24" t="n">
        <x:f>IF('Setup'!$B$22&gt;0,"",L37)</x:f>
        <x:v>24085</x:v>
      </x:c>
      <x:c r="F38" s="24" t="n">
        <x:f>IF('Setup'!$B$22&gt;0,"",D38+E38)</x:f>
        <x:v>33085</x:v>
      </x:c>
      <x:c r="G38" s="24" t="n">
        <x:f>IF('Setup'!$B$22&gt;0,"",'Capacity'!N18*C38)</x:f>
        <x:v>9258</x:v>
      </x:c>
      <x:c r="H38" s="24" t="n">
        <x:f>IF('Setup'!$B$22&gt;0,"",'Capacity'!N19*C38)</x:f>
        <x:v>8659</x:v>
      </x:c>
      <x:c r="I38" s="24" t="n">
        <x:f>IF('Setup'!$B$22&gt;0,"",'Capacity'!N20*C38)</x:f>
        <x:v>8000</x:v>
      </x:c>
      <x:c r="J38" s="24" t="n">
        <x:f>IF('Setup'!$B$22&gt;0,"",MIN(G38:I38))</x:f>
        <x:v>8000</x:v>
      </x:c>
      <x:c r="K38" s="24" t="n">
        <x:f>IF('Setup'!$B$22&gt;0,"",MIN(F38,J38))</x:f>
        <x:v>8000</x:v>
      </x:c>
      <x:c r="L38" s="24" t="n">
        <x:f>IF('Setup'!$B$22&gt;0,"",MAX(0,F38-K38))</x:f>
        <x:v>25085</x:v>
      </x:c>
      <x:c r="M38" s="23" t="n">
        <x:f>IF('Setup'!$B$22&gt;0,"",IF(J38=0,0,K38/J38))</x:f>
        <x:v>1</x:v>
      </x:c>
      <x:c r="N38" s="25" t="n">
        <x:f>IF('Setup'!$B$22&gt;0,"",SUM('Capacity'!Z18:Z20)*C38)</x:f>
        <x:v>13442.12</x:v>
      </x:c>
      <x:c r="O38" s="25" t="n">
        <x:f>IF('Setup'!$B$22&gt;0,"",SUM('Capacity'!Q18:Q20)*C38)</x:f>
        <x:v>4109.639999999999</x:v>
      </x:c>
      <x:c r="P38" s="1" t="str">
        <x:f>IF('Setup'!$B$22&gt;0,"",IF(C38=0,"Closed",INDEX('Processes'!$A$6:$A$8,MATCH(J38,G38:I38,0))))</x:f>
        <x:v>Ship</x:v>
      </x:c>
      <x:c r="Q38" s="1" t="n">
        <x:f>IF('Setup'!$B$22&gt;0,"",IF(C38=0,0,MAX(0,ROUNDUP(F38/'Capacity'!X18-'Capacity'!Y18,0)-'Capacity'!G18)))</x:f>
        <x:v>70</x:v>
      </x:c>
      <x:c r="R38" s="1" t="n">
        <x:f>IF('Setup'!$B$22&gt;0,"",IF(C38=0,0,MAX(0,ROUNDUP(F38/'Capacity'!X19-'Capacity'!Y19,0)-'Capacity'!G19)))</x:f>
        <x:v>60</x:v>
      </x:c>
      <x:c r="S38" s="1" t="n">
        <x:f>IF('Setup'!$B$22&gt;0,"",IF(C38=0,0,MAX(0,ROUNDUP(F38/'Capacity'!X20-'Capacity'!Y20,0)-'Capacity'!G20)))</x:f>
        <x:v>37</x:v>
      </x:c>
      <x:c r="T38" s="1" t="str">
        <x:f>IF('Setup'!$B$22&gt;0,"",IF(C38=0,IF(L38&gt;'Setup'!$B$7,"Backlog on closed day","Closed"),IF(OR(V38&gt;0,W38&gt;0),"Resolve staffing limits",IF(U38&gt;0,"Resolve physical limit",IF(L38&gt;'Setup'!$B$7,"Close labor capacity gap",IF(L38&gt;0,"Backlog below threshold","Within daily capacity"))))))</x:f>
        <x:v>Resolve physical limit</x:v>
      </x:c>
      <x:c r="U38" s="1" t="n">
        <x:f>IF('Setup'!$B$22&gt;0,"",IF(C38=0,0,MAX(0,F38-INT(MIN('Capacity'!M18:M20)))))</x:f>
        <x:v>25085</x:v>
      </x:c>
      <x:c r="V38" s="1" t="n">
        <x:f>IF('Setup'!$B$22&gt;0,"",SUM('Capacity'!T18:T20)*C38)</x:f>
        <x:v>0</x:v>
      </x:c>
      <x:c r="W38" s="1" t="n">
        <x:f>IF('Setup'!$B$22&gt;0,"",SUM('Capacity'!W18:W20)*C38)</x:f>
        <x:v>0</x:v>
      </x:c>
    </x:row>
    <x:row r="39" ht="23" customHeight="1">
      <x:c r="A39" s="20" t="n">
        <x:f>IF('Setup'!$B$22&gt;0,"",'Demand'!A39)</x:f>
        <x:v>46333</x:v>
      </x:c>
      <x:c r="B39" s="1" t="n">
        <x:f>IF('Setup'!$B$22&gt;0,"",'Demand'!B39)</x:f>
        <x:v>5</x:v>
      </x:c>
      <x:c r="C39" s="1" t="n">
        <x:f>IF('Setup'!$B$22&gt;0,"",'Demand'!C39)</x:f>
        <x:v>0</x:v>
      </x:c>
      <x:c r="D39" s="24" t="n">
        <x:f>IF('Setup'!$B$22&gt;0,"",ROUND('Demand'!D39*'Setup'!B17,0))</x:f>
        <x:v>0</x:v>
      </x:c>
      <x:c r="E39" s="24" t="n">
        <x:f>IF('Setup'!$B$22&gt;0,"",L38)</x:f>
        <x:v>25085</x:v>
      </x:c>
      <x:c r="F39" s="24" t="n">
        <x:f>IF('Setup'!$B$22&gt;0,"",D39+E39)</x:f>
        <x:v>25085</x:v>
      </x:c>
      <x:c r="G39" s="24" t="n">
        <x:f>IF('Setup'!$B$22&gt;0,"",'Capacity'!N18*C39)</x:f>
        <x:v>0</x:v>
      </x:c>
      <x:c r="H39" s="24" t="n">
        <x:f>IF('Setup'!$B$22&gt;0,"",'Capacity'!N19*C39)</x:f>
        <x:v>0</x:v>
      </x:c>
      <x:c r="I39" s="24" t="n">
        <x:f>IF('Setup'!$B$22&gt;0,"",'Capacity'!N20*C39)</x:f>
        <x:v>0</x:v>
      </x:c>
      <x:c r="J39" s="24" t="n">
        <x:f>IF('Setup'!$B$22&gt;0,"",MIN(G39:I39))</x:f>
        <x:v>0</x:v>
      </x:c>
      <x:c r="K39" s="24" t="n">
        <x:f>IF('Setup'!$B$22&gt;0,"",MIN(F39,J39))</x:f>
        <x:v>0</x:v>
      </x:c>
      <x:c r="L39" s="24" t="n">
        <x:f>IF('Setup'!$B$22&gt;0,"",MAX(0,F39-K39))</x:f>
        <x:v>25085</x:v>
      </x:c>
      <x:c r="M39" s="23" t="n">
        <x:f>IF('Setup'!$B$22&gt;0,"",IF(J39=0,0,K39/J39))</x:f>
        <x:v>0</x:v>
      </x:c>
      <x:c r="N39" s="25" t="n">
        <x:f>IF('Setup'!$B$22&gt;0,"",SUM('Capacity'!Z18:Z20)*C39)</x:f>
        <x:v>0</x:v>
      </x:c>
      <x:c r="O39" s="25" t="n">
        <x:f>IF('Setup'!$B$22&gt;0,"",SUM('Capacity'!Q18:Q20)*C39)</x:f>
        <x:v>0</x:v>
      </x:c>
      <x:c r="P39" s="1" t="str">
        <x:f>IF('Setup'!$B$22&gt;0,"",IF(C39=0,"Closed",INDEX('Processes'!$A$6:$A$8,MATCH(J39,G39:I39,0))))</x:f>
        <x:v>Closed</x:v>
      </x:c>
      <x:c r="Q39" s="1" t="n">
        <x:f>IF('Setup'!$B$22&gt;0,"",IF(C39=0,0,MAX(0,ROUNDUP(F39/'Capacity'!X18-'Capacity'!Y18,0)-'Capacity'!G18)))</x:f>
        <x:v>0</x:v>
      </x:c>
      <x:c r="R39" s="1" t="n">
        <x:f>IF('Setup'!$B$22&gt;0,"",IF(C39=0,0,MAX(0,ROUNDUP(F39/'Capacity'!X19-'Capacity'!Y19,0)-'Capacity'!G19)))</x:f>
        <x:v>0</x:v>
      </x:c>
      <x:c r="S39" s="1" t="n">
        <x:f>IF('Setup'!$B$22&gt;0,"",IF(C39=0,0,MAX(0,ROUNDUP(F39/'Capacity'!X20-'Capacity'!Y20,0)-'Capacity'!G20)))</x:f>
        <x:v>0</x:v>
      </x:c>
      <x:c r="T39" s="1" t="str">
        <x:f>IF('Setup'!$B$22&gt;0,"",IF(C39=0,IF(L39&gt;'Setup'!$B$7,"Backlog on closed day","Closed"),IF(OR(V39&gt;0,W39&gt;0),"Resolve staffing limits",IF(U39&gt;0,"Resolve physical limit",IF(L39&gt;'Setup'!$B$7,"Close labor capacity gap",IF(L39&gt;0,"Backlog below threshold","Within daily capacity"))))))</x:f>
        <x:v>Backlog on closed day</x:v>
      </x:c>
      <x:c r="U39" s="1" t="n">
        <x:f>IF('Setup'!$B$22&gt;0,"",IF(C39=0,0,MAX(0,F39-INT(MIN('Capacity'!M18:M20)))))</x:f>
        <x:v>0</x:v>
      </x:c>
      <x:c r="V39" s="1" t="n">
        <x:f>IF('Setup'!$B$22&gt;0,"",SUM('Capacity'!T18:T20)*C39)</x:f>
        <x:v>0</x:v>
      </x:c>
      <x:c r="W39" s="1" t="n">
        <x:f>IF('Setup'!$B$22&gt;0,"",SUM('Capacity'!W18:W20)*C39)</x:f>
        <x:v>0</x:v>
      </x:c>
    </x:row>
    <x:row r="40" ht="23" customHeight="1">
      <x:c r="A40" s="20" t="n">
        <x:f>IF('Setup'!$B$22&gt;0,"",'Demand'!A40)</x:f>
        <x:v>46334</x:v>
      </x:c>
      <x:c r="B40" s="1" t="n">
        <x:f>IF('Setup'!$B$22&gt;0,"",'Demand'!B40)</x:f>
        <x:v>5</x:v>
      </x:c>
      <x:c r="C40" s="1" t="n">
        <x:f>IF('Setup'!$B$22&gt;0,"",'Demand'!C40)</x:f>
        <x:v>0</x:v>
      </x:c>
      <x:c r="D40" s="24" t="n">
        <x:f>IF('Setup'!$B$22&gt;0,"",ROUND('Demand'!D40*'Setup'!B17,0))</x:f>
        <x:v>0</x:v>
      </x:c>
      <x:c r="E40" s="24" t="n">
        <x:f>IF('Setup'!$B$22&gt;0,"",L39)</x:f>
        <x:v>25085</x:v>
      </x:c>
      <x:c r="F40" s="24" t="n">
        <x:f>IF('Setup'!$B$22&gt;0,"",D40+E40)</x:f>
        <x:v>25085</x:v>
      </x:c>
      <x:c r="G40" s="24" t="n">
        <x:f>IF('Setup'!$B$22&gt;0,"",'Capacity'!N18*C40)</x:f>
        <x:v>0</x:v>
      </x:c>
      <x:c r="H40" s="24" t="n">
        <x:f>IF('Setup'!$B$22&gt;0,"",'Capacity'!N19*C40)</x:f>
        <x:v>0</x:v>
      </x:c>
      <x:c r="I40" s="24" t="n">
        <x:f>IF('Setup'!$B$22&gt;0,"",'Capacity'!N20*C40)</x:f>
        <x:v>0</x:v>
      </x:c>
      <x:c r="J40" s="24" t="n">
        <x:f>IF('Setup'!$B$22&gt;0,"",MIN(G40:I40))</x:f>
        <x:v>0</x:v>
      </x:c>
      <x:c r="K40" s="24" t="n">
        <x:f>IF('Setup'!$B$22&gt;0,"",MIN(F40,J40))</x:f>
        <x:v>0</x:v>
      </x:c>
      <x:c r="L40" s="24" t="n">
        <x:f>IF('Setup'!$B$22&gt;0,"",MAX(0,F40-K40))</x:f>
        <x:v>25085</x:v>
      </x:c>
      <x:c r="M40" s="23" t="n">
        <x:f>IF('Setup'!$B$22&gt;0,"",IF(J40=0,0,K40/J40))</x:f>
        <x:v>0</x:v>
      </x:c>
      <x:c r="N40" s="25" t="n">
        <x:f>IF('Setup'!$B$22&gt;0,"",SUM('Capacity'!Z18:Z20)*C40)</x:f>
        <x:v>0</x:v>
      </x:c>
      <x:c r="O40" s="25" t="n">
        <x:f>IF('Setup'!$B$22&gt;0,"",SUM('Capacity'!Q18:Q20)*C40)</x:f>
        <x:v>0</x:v>
      </x:c>
      <x:c r="P40" s="1" t="str">
        <x:f>IF('Setup'!$B$22&gt;0,"",IF(C40=0,"Closed",INDEX('Processes'!$A$6:$A$8,MATCH(J40,G40:I40,0))))</x:f>
        <x:v>Closed</x:v>
      </x:c>
      <x:c r="Q40" s="1" t="n">
        <x:f>IF('Setup'!$B$22&gt;0,"",IF(C40=0,0,MAX(0,ROUNDUP(F40/'Capacity'!X18-'Capacity'!Y18,0)-'Capacity'!G18)))</x:f>
        <x:v>0</x:v>
      </x:c>
      <x:c r="R40" s="1" t="n">
        <x:f>IF('Setup'!$B$22&gt;0,"",IF(C40=0,0,MAX(0,ROUNDUP(F40/'Capacity'!X19-'Capacity'!Y19,0)-'Capacity'!G19)))</x:f>
        <x:v>0</x:v>
      </x:c>
      <x:c r="S40" s="1" t="n">
        <x:f>IF('Setup'!$B$22&gt;0,"",IF(C40=0,0,MAX(0,ROUNDUP(F40/'Capacity'!X20-'Capacity'!Y20,0)-'Capacity'!G20)))</x:f>
        <x:v>0</x:v>
      </x:c>
      <x:c r="T40" s="1" t="str">
        <x:f>IF('Setup'!$B$22&gt;0,"",IF(C40=0,IF(L40&gt;'Setup'!$B$7,"Backlog on closed day","Closed"),IF(OR(V40&gt;0,W40&gt;0),"Resolve staffing limits",IF(U40&gt;0,"Resolve physical limit",IF(L40&gt;'Setup'!$B$7,"Close labor capacity gap",IF(L40&gt;0,"Backlog below threshold","Within daily capacity"))))))</x:f>
        <x:v>Backlog on closed day</x:v>
      </x:c>
      <x:c r="U40" s="1" t="n">
        <x:f>IF('Setup'!$B$22&gt;0,"",IF(C40=0,0,MAX(0,F40-INT(MIN('Capacity'!M18:M20)))))</x:f>
        <x:v>0</x:v>
      </x:c>
      <x:c r="V40" s="1" t="n">
        <x:f>IF('Setup'!$B$22&gt;0,"",SUM('Capacity'!T18:T20)*C40)</x:f>
        <x:v>0</x:v>
      </x:c>
      <x:c r="W40" s="1" t="n">
        <x:f>IF('Setup'!$B$22&gt;0,"",SUM('Capacity'!W18:W20)*C40)</x:f>
        <x:v>0</x:v>
      </x:c>
    </x:row>
    <x:row r="41" ht="23" customHeight="1">
      <x:c r="A41" s="20" t="n">
        <x:f>IF('Setup'!$B$22&gt;0,"",'Demand'!A41)</x:f>
        <x:v>46335</x:v>
      </x:c>
      <x:c r="B41" s="1" t="n">
        <x:f>IF('Setup'!$B$22&gt;0,"",'Demand'!B41)</x:f>
        <x:v>6</x:v>
      </x:c>
      <x:c r="C41" s="1" t="n">
        <x:f>IF('Setup'!$B$22&gt;0,"",'Demand'!C41)</x:f>
        <x:v>1</x:v>
      </x:c>
      <x:c r="D41" s="24" t="n">
        <x:f>IF('Setup'!$B$22&gt;0,"",ROUND('Demand'!D41*'Setup'!B17,0))</x:f>
        <x:v>11000</x:v>
      </x:c>
      <x:c r="E41" s="24" t="n">
        <x:f>IF('Setup'!$B$22&gt;0,"",L40)</x:f>
        <x:v>25085</x:v>
      </x:c>
      <x:c r="F41" s="24" t="n">
        <x:f>IF('Setup'!$B$22&gt;0,"",D41+E41)</x:f>
        <x:v>36085</x:v>
      </x:c>
      <x:c r="G41" s="24" t="n">
        <x:f>IF('Setup'!$B$22&gt;0,"",'Capacity'!N21*C41)</x:f>
        <x:v>9395</x:v>
      </x:c>
      <x:c r="H41" s="24" t="n">
        <x:f>IF('Setup'!$B$22&gt;0,"",'Capacity'!N22*C41)</x:f>
        <x:v>8823</x:v>
      </x:c>
      <x:c r="I41" s="24" t="n">
        <x:f>IF('Setup'!$B$22&gt;0,"",'Capacity'!N23*C41)</x:f>
        <x:v>8000</x:v>
      </x:c>
      <x:c r="J41" s="24" t="n">
        <x:f>IF('Setup'!$B$22&gt;0,"",MIN(G41:I41))</x:f>
        <x:v>8000</x:v>
      </x:c>
      <x:c r="K41" s="24" t="n">
        <x:f>IF('Setup'!$B$22&gt;0,"",MIN(F41,J41))</x:f>
        <x:v>8000</x:v>
      </x:c>
      <x:c r="L41" s="24" t="n">
        <x:f>IF('Setup'!$B$22&gt;0,"",MAX(0,F41-K41))</x:f>
        <x:v>28085</x:v>
      </x:c>
      <x:c r="M41" s="23" t="n">
        <x:f>IF('Setup'!$B$22&gt;0,"",IF(J41=0,0,K41/J41))</x:f>
        <x:v>1</x:v>
      </x:c>
      <x:c r="N41" s="25" t="n">
        <x:f>IF('Setup'!$B$22&gt;0,"",SUM('Capacity'!Z21:Z23)*C41)</x:f>
        <x:v>13442.12</x:v>
      </x:c>
      <x:c r="O41" s="25" t="n">
        <x:f>IF('Setup'!$B$22&gt;0,"",SUM('Capacity'!Q21:Q23)*C41)</x:f>
        <x:v>4109.639999999999</x:v>
      </x:c>
      <x:c r="P41" s="1" t="str">
        <x:f>IF('Setup'!$B$22&gt;0,"",IF(C41=0,"Closed",INDEX('Processes'!$A$6:$A$8,MATCH(J41,G41:I41,0))))</x:f>
        <x:v>Ship</x:v>
      </x:c>
      <x:c r="Q41" s="1" t="n">
        <x:f>IF('Setup'!$B$22&gt;0,"",IF(C41=0,0,MAX(0,ROUNDUP(F41/'Capacity'!X21-'Capacity'!Y21,0)-'Capacity'!G21)))</x:f>
        <x:v>79</x:v>
      </x:c>
      <x:c r="R41" s="1" t="n">
        <x:f>IF('Setup'!$B$22&gt;0,"",IF(C41=0,0,MAX(0,ROUNDUP(F41/'Capacity'!X22-'Capacity'!Y22,0)-'Capacity'!G22)))</x:f>
        <x:v>67</x:v>
      </x:c>
      <x:c r="S41" s="1" t="n">
        <x:f>IF('Setup'!$B$22&gt;0,"",IF(C41=0,0,MAX(0,ROUNDUP(F41/'Capacity'!X23-'Capacity'!Y23,0)-'Capacity'!G23)))</x:f>
        <x:v>41</x:v>
      </x:c>
      <x:c r="T41" s="1" t="str">
        <x:f>IF('Setup'!$B$22&gt;0,"",IF(C41=0,IF(L41&gt;'Setup'!$B$7,"Backlog on closed day","Closed"),IF(OR(V41&gt;0,W41&gt;0),"Resolve staffing limits",IF(U41&gt;0,"Resolve physical limit",IF(L41&gt;'Setup'!$B$7,"Close labor capacity gap",IF(L41&gt;0,"Backlog below threshold","Within daily capacity"))))))</x:f>
        <x:v>Resolve physical limit</x:v>
      </x:c>
      <x:c r="U41" s="1" t="n">
        <x:f>IF('Setup'!$B$22&gt;0,"",IF(C41=0,0,MAX(0,F41-INT(MIN('Capacity'!M21:M23)))))</x:f>
        <x:v>28085</x:v>
      </x:c>
      <x:c r="V41" s="1" t="n">
        <x:f>IF('Setup'!$B$22&gt;0,"",SUM('Capacity'!T21:T23)*C41)</x:f>
        <x:v>0</x:v>
      </x:c>
      <x:c r="W41" s="1" t="n">
        <x:f>IF('Setup'!$B$22&gt;0,"",SUM('Capacity'!W21:W23)*C41)</x:f>
        <x:v>0</x:v>
      </x:c>
    </x:row>
    <x:row r="42" ht="23" customHeight="1">
      <x:c r="A42" s="20" t="n">
        <x:f>IF('Setup'!$B$22&gt;0,"",'Demand'!A42)</x:f>
        <x:v>46336</x:v>
      </x:c>
      <x:c r="B42" s="1" t="n">
        <x:f>IF('Setup'!$B$22&gt;0,"",'Demand'!B42)</x:f>
        <x:v>6</x:v>
      </x:c>
      <x:c r="C42" s="1" t="n">
        <x:f>IF('Setup'!$B$22&gt;0,"",'Demand'!C42)</x:f>
        <x:v>1</x:v>
      </x:c>
      <x:c r="D42" s="24" t="n">
        <x:f>IF('Setup'!$B$22&gt;0,"",ROUND('Demand'!D42*'Setup'!B17,0))</x:f>
        <x:v>11000</x:v>
      </x:c>
      <x:c r="E42" s="24" t="n">
        <x:f>IF('Setup'!$B$22&gt;0,"",L41)</x:f>
        <x:v>28085</x:v>
      </x:c>
      <x:c r="F42" s="24" t="n">
        <x:f>IF('Setup'!$B$22&gt;0,"",D42+E42)</x:f>
        <x:v>39085</x:v>
      </x:c>
      <x:c r="G42" s="24" t="n">
        <x:f>IF('Setup'!$B$22&gt;0,"",'Capacity'!N21*C42)</x:f>
        <x:v>9395</x:v>
      </x:c>
      <x:c r="H42" s="24" t="n">
        <x:f>IF('Setup'!$B$22&gt;0,"",'Capacity'!N22*C42)</x:f>
        <x:v>8823</x:v>
      </x:c>
      <x:c r="I42" s="24" t="n">
        <x:f>IF('Setup'!$B$22&gt;0,"",'Capacity'!N23*C42)</x:f>
        <x:v>8000</x:v>
      </x:c>
      <x:c r="J42" s="24" t="n">
        <x:f>IF('Setup'!$B$22&gt;0,"",MIN(G42:I42))</x:f>
        <x:v>8000</x:v>
      </x:c>
      <x:c r="K42" s="24" t="n">
        <x:f>IF('Setup'!$B$22&gt;0,"",MIN(F42,J42))</x:f>
        <x:v>8000</x:v>
      </x:c>
      <x:c r="L42" s="24" t="n">
        <x:f>IF('Setup'!$B$22&gt;0,"",MAX(0,F42-K42))</x:f>
        <x:v>31085</x:v>
      </x:c>
      <x:c r="M42" s="23" t="n">
        <x:f>IF('Setup'!$B$22&gt;0,"",IF(J42=0,0,K42/J42))</x:f>
        <x:v>1</x:v>
      </x:c>
      <x:c r="N42" s="25" t="n">
        <x:f>IF('Setup'!$B$22&gt;0,"",SUM('Capacity'!Z21:Z23)*C42)</x:f>
        <x:v>13442.12</x:v>
      </x:c>
      <x:c r="O42" s="25" t="n">
        <x:f>IF('Setup'!$B$22&gt;0,"",SUM('Capacity'!Q21:Q23)*C42)</x:f>
        <x:v>4109.639999999999</x:v>
      </x:c>
      <x:c r="P42" s="1" t="str">
        <x:f>IF('Setup'!$B$22&gt;0,"",IF(C42=0,"Closed",INDEX('Processes'!$A$6:$A$8,MATCH(J42,G42:I42,0))))</x:f>
        <x:v>Ship</x:v>
      </x:c>
      <x:c r="Q42" s="1" t="n">
        <x:f>IF('Setup'!$B$22&gt;0,"",IF(C42=0,0,MAX(0,ROUNDUP(F42/'Capacity'!X21-'Capacity'!Y21,0)-'Capacity'!G21)))</x:f>
        <x:v>88</x:v>
      </x:c>
      <x:c r="R42" s="1" t="n">
        <x:f>IF('Setup'!$B$22&gt;0,"",IF(C42=0,0,MAX(0,ROUNDUP(F42/'Capacity'!X22-'Capacity'!Y22,0)-'Capacity'!G22)))</x:f>
        <x:v>75</x:v>
      </x:c>
      <x:c r="S42" s="1" t="n">
        <x:f>IF('Setup'!$B$22&gt;0,"",IF(C42=0,0,MAX(0,ROUNDUP(F42/'Capacity'!X23-'Capacity'!Y23,0)-'Capacity'!G23)))</x:f>
        <x:v>45</x:v>
      </x:c>
      <x:c r="T42" s="1" t="str">
        <x:f>IF('Setup'!$B$22&gt;0,"",IF(C42=0,IF(L42&gt;'Setup'!$B$7,"Backlog on closed day","Closed"),IF(OR(V42&gt;0,W42&gt;0),"Resolve staffing limits",IF(U42&gt;0,"Resolve physical limit",IF(L42&gt;'Setup'!$B$7,"Close labor capacity gap",IF(L42&gt;0,"Backlog below threshold","Within daily capacity"))))))</x:f>
        <x:v>Resolve physical limit</x:v>
      </x:c>
      <x:c r="U42" s="1" t="n">
        <x:f>IF('Setup'!$B$22&gt;0,"",IF(C42=0,0,MAX(0,F42-INT(MIN('Capacity'!M21:M23)))))</x:f>
        <x:v>31085</x:v>
      </x:c>
      <x:c r="V42" s="1" t="n">
        <x:f>IF('Setup'!$B$22&gt;0,"",SUM('Capacity'!T21:T23)*C42)</x:f>
        <x:v>0</x:v>
      </x:c>
      <x:c r="W42" s="1" t="n">
        <x:f>IF('Setup'!$B$22&gt;0,"",SUM('Capacity'!W21:W23)*C42)</x:f>
        <x:v>0</x:v>
      </x:c>
    </x:row>
    <x:row r="43" ht="23" customHeight="1">
      <x:c r="A43" s="20" t="n">
        <x:f>IF('Setup'!$B$22&gt;0,"",'Demand'!A43)</x:f>
        <x:v>46337</x:v>
      </x:c>
      <x:c r="B43" s="1" t="n">
        <x:f>IF('Setup'!$B$22&gt;0,"",'Demand'!B43)</x:f>
        <x:v>6</x:v>
      </x:c>
      <x:c r="C43" s="1" t="n">
        <x:f>IF('Setup'!$B$22&gt;0,"",'Demand'!C43)</x:f>
        <x:v>1</x:v>
      </x:c>
      <x:c r="D43" s="24" t="n">
        <x:f>IF('Setup'!$B$22&gt;0,"",ROUND('Demand'!D43*'Setup'!B17,0))</x:f>
        <x:v>11000</x:v>
      </x:c>
      <x:c r="E43" s="24" t="n">
        <x:f>IF('Setup'!$B$22&gt;0,"",L42)</x:f>
        <x:v>31085</x:v>
      </x:c>
      <x:c r="F43" s="24" t="n">
        <x:f>IF('Setup'!$B$22&gt;0,"",D43+E43)</x:f>
        <x:v>42085</x:v>
      </x:c>
      <x:c r="G43" s="24" t="n">
        <x:f>IF('Setup'!$B$22&gt;0,"",'Capacity'!N21*C43)</x:f>
        <x:v>9395</x:v>
      </x:c>
      <x:c r="H43" s="24" t="n">
        <x:f>IF('Setup'!$B$22&gt;0,"",'Capacity'!N22*C43)</x:f>
        <x:v>8823</x:v>
      </x:c>
      <x:c r="I43" s="24" t="n">
        <x:f>IF('Setup'!$B$22&gt;0,"",'Capacity'!N23*C43)</x:f>
        <x:v>8000</x:v>
      </x:c>
      <x:c r="J43" s="24" t="n">
        <x:f>IF('Setup'!$B$22&gt;0,"",MIN(G43:I43))</x:f>
        <x:v>8000</x:v>
      </x:c>
      <x:c r="K43" s="24" t="n">
        <x:f>IF('Setup'!$B$22&gt;0,"",MIN(F43,J43))</x:f>
        <x:v>8000</x:v>
      </x:c>
      <x:c r="L43" s="24" t="n">
        <x:f>IF('Setup'!$B$22&gt;0,"",MAX(0,F43-K43))</x:f>
        <x:v>34085</x:v>
      </x:c>
      <x:c r="M43" s="23" t="n">
        <x:f>IF('Setup'!$B$22&gt;0,"",IF(J43=0,0,K43/J43))</x:f>
        <x:v>1</x:v>
      </x:c>
      <x:c r="N43" s="25" t="n">
        <x:f>IF('Setup'!$B$22&gt;0,"",SUM('Capacity'!Z21:Z23)*C43)</x:f>
        <x:v>13442.12</x:v>
      </x:c>
      <x:c r="O43" s="25" t="n">
        <x:f>IF('Setup'!$B$22&gt;0,"",SUM('Capacity'!Q21:Q23)*C43)</x:f>
        <x:v>4109.639999999999</x:v>
      </x:c>
      <x:c r="P43" s="1" t="str">
        <x:f>IF('Setup'!$B$22&gt;0,"",IF(C43=0,"Closed",INDEX('Processes'!$A$6:$A$8,MATCH(J43,G43:I43,0))))</x:f>
        <x:v>Ship</x:v>
      </x:c>
      <x:c r="Q43" s="1" t="n">
        <x:f>IF('Setup'!$B$22&gt;0,"",IF(C43=0,0,MAX(0,ROUNDUP(F43/'Capacity'!X21-'Capacity'!Y21,0)-'Capacity'!G21)))</x:f>
        <x:v>97</x:v>
      </x:c>
      <x:c r="R43" s="1" t="n">
        <x:f>IF('Setup'!$B$22&gt;0,"",IF(C43=0,0,MAX(0,ROUNDUP(F43/'Capacity'!X22-'Capacity'!Y22,0)-'Capacity'!G22)))</x:f>
        <x:v>82</x:v>
      </x:c>
      <x:c r="S43" s="1" t="n">
        <x:f>IF('Setup'!$B$22&gt;0,"",IF(C43=0,0,MAX(0,ROUNDUP(F43/'Capacity'!X23-'Capacity'!Y23,0)-'Capacity'!G23)))</x:f>
        <x:v>50</x:v>
      </x:c>
      <x:c r="T43" s="1" t="str">
        <x:f>IF('Setup'!$B$22&gt;0,"",IF(C43=0,IF(L43&gt;'Setup'!$B$7,"Backlog on closed day","Closed"),IF(OR(V43&gt;0,W43&gt;0),"Resolve staffing limits",IF(U43&gt;0,"Resolve physical limit",IF(L43&gt;'Setup'!$B$7,"Close labor capacity gap",IF(L43&gt;0,"Backlog below threshold","Within daily capacity"))))))</x:f>
        <x:v>Resolve physical limit</x:v>
      </x:c>
      <x:c r="U43" s="1" t="n">
        <x:f>IF('Setup'!$B$22&gt;0,"",IF(C43=0,0,MAX(0,F43-INT(MIN('Capacity'!M21:M23)))))</x:f>
        <x:v>34085</x:v>
      </x:c>
      <x:c r="V43" s="1" t="n">
        <x:f>IF('Setup'!$B$22&gt;0,"",SUM('Capacity'!T21:T23)*C43)</x:f>
        <x:v>0</x:v>
      </x:c>
      <x:c r="W43" s="1" t="n">
        <x:f>IF('Setup'!$B$22&gt;0,"",SUM('Capacity'!W21:W23)*C43)</x:f>
        <x:v>0</x:v>
      </x:c>
    </x:row>
    <x:row r="44" ht="23" customHeight="1">
      <x:c r="A44" s="20" t="n">
        <x:f>IF('Setup'!$B$22&gt;0,"",'Demand'!A44)</x:f>
        <x:v>46338</x:v>
      </x:c>
      <x:c r="B44" s="1" t="n">
        <x:f>IF('Setup'!$B$22&gt;0,"",'Demand'!B44)</x:f>
        <x:v>6</x:v>
      </x:c>
      <x:c r="C44" s="1" t="n">
        <x:f>IF('Setup'!$B$22&gt;0,"",'Demand'!C44)</x:f>
        <x:v>1</x:v>
      </x:c>
      <x:c r="D44" s="24" t="n">
        <x:f>IF('Setup'!$B$22&gt;0,"",ROUND('Demand'!D44*'Setup'!B17,0))</x:f>
        <x:v>11000</x:v>
      </x:c>
      <x:c r="E44" s="24" t="n">
        <x:f>IF('Setup'!$B$22&gt;0,"",L43)</x:f>
        <x:v>34085</x:v>
      </x:c>
      <x:c r="F44" s="24" t="n">
        <x:f>IF('Setup'!$B$22&gt;0,"",D44+E44)</x:f>
        <x:v>45085</x:v>
      </x:c>
      <x:c r="G44" s="24" t="n">
        <x:f>IF('Setup'!$B$22&gt;0,"",'Capacity'!N21*C44)</x:f>
        <x:v>9395</x:v>
      </x:c>
      <x:c r="H44" s="24" t="n">
        <x:f>IF('Setup'!$B$22&gt;0,"",'Capacity'!N22*C44)</x:f>
        <x:v>8823</x:v>
      </x:c>
      <x:c r="I44" s="24" t="n">
        <x:f>IF('Setup'!$B$22&gt;0,"",'Capacity'!N23*C44)</x:f>
        <x:v>8000</x:v>
      </x:c>
      <x:c r="J44" s="24" t="n">
        <x:f>IF('Setup'!$B$22&gt;0,"",MIN(G44:I44))</x:f>
        <x:v>8000</x:v>
      </x:c>
      <x:c r="K44" s="24" t="n">
        <x:f>IF('Setup'!$B$22&gt;0,"",MIN(F44,J44))</x:f>
        <x:v>8000</x:v>
      </x:c>
      <x:c r="L44" s="24" t="n">
        <x:f>IF('Setup'!$B$22&gt;0,"",MAX(0,F44-K44))</x:f>
        <x:v>37085</x:v>
      </x:c>
      <x:c r="M44" s="23" t="n">
        <x:f>IF('Setup'!$B$22&gt;0,"",IF(J44=0,0,K44/J44))</x:f>
        <x:v>1</x:v>
      </x:c>
      <x:c r="N44" s="25" t="n">
        <x:f>IF('Setup'!$B$22&gt;0,"",SUM('Capacity'!Z21:Z23)*C44)</x:f>
        <x:v>13442.12</x:v>
      </x:c>
      <x:c r="O44" s="25" t="n">
        <x:f>IF('Setup'!$B$22&gt;0,"",SUM('Capacity'!Q21:Q23)*C44)</x:f>
        <x:v>4109.639999999999</x:v>
      </x:c>
      <x:c r="P44" s="1" t="str">
        <x:f>IF('Setup'!$B$22&gt;0,"",IF(C44=0,"Closed",INDEX('Processes'!$A$6:$A$8,MATCH(J44,G44:I44,0))))</x:f>
        <x:v>Ship</x:v>
      </x:c>
      <x:c r="Q44" s="1" t="n">
        <x:f>IF('Setup'!$B$22&gt;0,"",IF(C44=0,0,MAX(0,ROUNDUP(F44/'Capacity'!X21-'Capacity'!Y21,0)-'Capacity'!G21)))</x:f>
        <x:v>105</x:v>
      </x:c>
      <x:c r="R44" s="1" t="n">
        <x:f>IF('Setup'!$B$22&gt;0,"",IF(C44=0,0,MAX(0,ROUNDUP(F44/'Capacity'!X22-'Capacity'!Y22,0)-'Capacity'!G22)))</x:f>
        <x:v>89</x:v>
      </x:c>
      <x:c r="S44" s="1" t="n">
        <x:f>IF('Setup'!$B$22&gt;0,"",IF(C44=0,0,MAX(0,ROUNDUP(F44/'Capacity'!X23-'Capacity'!Y23,0)-'Capacity'!G23)))</x:f>
        <x:v>54</x:v>
      </x:c>
      <x:c r="T44" s="1" t="str">
        <x:f>IF('Setup'!$B$22&gt;0,"",IF(C44=0,IF(L44&gt;'Setup'!$B$7,"Backlog on closed day","Closed"),IF(OR(V44&gt;0,W44&gt;0),"Resolve staffing limits",IF(U44&gt;0,"Resolve physical limit",IF(L44&gt;'Setup'!$B$7,"Close labor capacity gap",IF(L44&gt;0,"Backlog below threshold","Within daily capacity"))))))</x:f>
        <x:v>Resolve physical limit</x:v>
      </x:c>
      <x:c r="U44" s="1" t="n">
        <x:f>IF('Setup'!$B$22&gt;0,"",IF(C44=0,0,MAX(0,F44-INT(MIN('Capacity'!M21:M23)))))</x:f>
        <x:v>37085</x:v>
      </x:c>
      <x:c r="V44" s="1" t="n">
        <x:f>IF('Setup'!$B$22&gt;0,"",SUM('Capacity'!T21:T23)*C44)</x:f>
        <x:v>0</x:v>
      </x:c>
      <x:c r="W44" s="1" t="n">
        <x:f>IF('Setup'!$B$22&gt;0,"",SUM('Capacity'!W21:W23)*C44)</x:f>
        <x:v>0</x:v>
      </x:c>
    </x:row>
    <x:row r="45" ht="23" customHeight="1">
      <x:c r="A45" s="20" t="n">
        <x:f>IF('Setup'!$B$22&gt;0,"",'Demand'!A45)</x:f>
        <x:v>46339</x:v>
      </x:c>
      <x:c r="B45" s="1" t="n">
        <x:f>IF('Setup'!$B$22&gt;0,"",'Demand'!B45)</x:f>
        <x:v>6</x:v>
      </x:c>
      <x:c r="C45" s="1" t="n">
        <x:f>IF('Setup'!$B$22&gt;0,"",'Demand'!C45)</x:f>
        <x:v>1</x:v>
      </x:c>
      <x:c r="D45" s="24" t="n">
        <x:f>IF('Setup'!$B$22&gt;0,"",ROUND('Demand'!D45*'Setup'!B17,0))</x:f>
        <x:v>11000</x:v>
      </x:c>
      <x:c r="E45" s="24" t="n">
        <x:f>IF('Setup'!$B$22&gt;0,"",L44)</x:f>
        <x:v>37085</x:v>
      </x:c>
      <x:c r="F45" s="24" t="n">
        <x:f>IF('Setup'!$B$22&gt;0,"",D45+E45)</x:f>
        <x:v>48085</x:v>
      </x:c>
      <x:c r="G45" s="24" t="n">
        <x:f>IF('Setup'!$B$22&gt;0,"",'Capacity'!N21*C45)</x:f>
        <x:v>9395</x:v>
      </x:c>
      <x:c r="H45" s="24" t="n">
        <x:f>IF('Setup'!$B$22&gt;0,"",'Capacity'!N22*C45)</x:f>
        <x:v>8823</x:v>
      </x:c>
      <x:c r="I45" s="24" t="n">
        <x:f>IF('Setup'!$B$22&gt;0,"",'Capacity'!N23*C45)</x:f>
        <x:v>8000</x:v>
      </x:c>
      <x:c r="J45" s="24" t="n">
        <x:f>IF('Setup'!$B$22&gt;0,"",MIN(G45:I45))</x:f>
        <x:v>8000</x:v>
      </x:c>
      <x:c r="K45" s="24" t="n">
        <x:f>IF('Setup'!$B$22&gt;0,"",MIN(F45,J45))</x:f>
        <x:v>8000</x:v>
      </x:c>
      <x:c r="L45" s="24" t="n">
        <x:f>IF('Setup'!$B$22&gt;0,"",MAX(0,F45-K45))</x:f>
        <x:v>40085</x:v>
      </x:c>
      <x:c r="M45" s="23" t="n">
        <x:f>IF('Setup'!$B$22&gt;0,"",IF(J45=0,0,K45/J45))</x:f>
        <x:v>1</x:v>
      </x:c>
      <x:c r="N45" s="25" t="n">
        <x:f>IF('Setup'!$B$22&gt;0,"",SUM('Capacity'!Z21:Z23)*C45)</x:f>
        <x:v>13442.12</x:v>
      </x:c>
      <x:c r="O45" s="25" t="n">
        <x:f>IF('Setup'!$B$22&gt;0,"",SUM('Capacity'!Q21:Q23)*C45)</x:f>
        <x:v>4109.639999999999</x:v>
      </x:c>
      <x:c r="P45" s="1" t="str">
        <x:f>IF('Setup'!$B$22&gt;0,"",IF(C45=0,"Closed",INDEX('Processes'!$A$6:$A$8,MATCH(J45,G45:I45,0))))</x:f>
        <x:v>Ship</x:v>
      </x:c>
      <x:c r="Q45" s="1" t="n">
        <x:f>IF('Setup'!$B$22&gt;0,"",IF(C45=0,0,MAX(0,ROUNDUP(F45/'Capacity'!X21-'Capacity'!Y21,0)-'Capacity'!G21)))</x:f>
        <x:v>114</x:v>
      </x:c>
      <x:c r="R45" s="1" t="n">
        <x:f>IF('Setup'!$B$22&gt;0,"",IF(C45=0,0,MAX(0,ROUNDUP(F45/'Capacity'!X22-'Capacity'!Y22,0)-'Capacity'!G22)))</x:f>
        <x:v>97</x:v>
      </x:c>
      <x:c r="S45" s="1" t="n">
        <x:f>IF('Setup'!$B$22&gt;0,"",IF(C45=0,0,MAX(0,ROUNDUP(F45/'Capacity'!X23-'Capacity'!Y23,0)-'Capacity'!G23)))</x:f>
        <x:v>58</x:v>
      </x:c>
      <x:c r="T45" s="1" t="str">
        <x:f>IF('Setup'!$B$22&gt;0,"",IF(C45=0,IF(L45&gt;'Setup'!$B$7,"Backlog on closed day","Closed"),IF(OR(V45&gt;0,W45&gt;0),"Resolve staffing limits",IF(U45&gt;0,"Resolve physical limit",IF(L45&gt;'Setup'!$B$7,"Close labor capacity gap",IF(L45&gt;0,"Backlog below threshold","Within daily capacity"))))))</x:f>
        <x:v>Resolve physical limit</x:v>
      </x:c>
      <x:c r="U45" s="1" t="n">
        <x:f>IF('Setup'!$B$22&gt;0,"",IF(C45=0,0,MAX(0,F45-INT(MIN('Capacity'!M21:M23)))))</x:f>
        <x:v>40085</x:v>
      </x:c>
      <x:c r="V45" s="1" t="n">
        <x:f>IF('Setup'!$B$22&gt;0,"",SUM('Capacity'!T21:T23)*C45)</x:f>
        <x:v>0</x:v>
      </x:c>
      <x:c r="W45" s="1" t="n">
        <x:f>IF('Setup'!$B$22&gt;0,"",SUM('Capacity'!W21:W23)*C45)</x:f>
        <x:v>0</x:v>
      </x:c>
    </x:row>
    <x:row r="46" ht="23" customHeight="1">
      <x:c r="A46" s="20" t="n">
        <x:f>IF('Setup'!$B$22&gt;0,"",'Demand'!A46)</x:f>
        <x:v>46340</x:v>
      </x:c>
      <x:c r="B46" s="1" t="n">
        <x:f>IF('Setup'!$B$22&gt;0,"",'Demand'!B46)</x:f>
        <x:v>6</x:v>
      </x:c>
      <x:c r="C46" s="1" t="n">
        <x:f>IF('Setup'!$B$22&gt;0,"",'Demand'!C46)</x:f>
        <x:v>0</x:v>
      </x:c>
      <x:c r="D46" s="24" t="n">
        <x:f>IF('Setup'!$B$22&gt;0,"",ROUND('Demand'!D46*'Setup'!B17,0))</x:f>
        <x:v>0</x:v>
      </x:c>
      <x:c r="E46" s="24" t="n">
        <x:f>IF('Setup'!$B$22&gt;0,"",L45)</x:f>
        <x:v>40085</x:v>
      </x:c>
      <x:c r="F46" s="24" t="n">
        <x:f>IF('Setup'!$B$22&gt;0,"",D46+E46)</x:f>
        <x:v>40085</x:v>
      </x:c>
      <x:c r="G46" s="24" t="n">
        <x:f>IF('Setup'!$B$22&gt;0,"",'Capacity'!N21*C46)</x:f>
        <x:v>0</x:v>
      </x:c>
      <x:c r="H46" s="24" t="n">
        <x:f>IF('Setup'!$B$22&gt;0,"",'Capacity'!N22*C46)</x:f>
        <x:v>0</x:v>
      </x:c>
      <x:c r="I46" s="24" t="n">
        <x:f>IF('Setup'!$B$22&gt;0,"",'Capacity'!N23*C46)</x:f>
        <x:v>0</x:v>
      </x:c>
      <x:c r="J46" s="24" t="n">
        <x:f>IF('Setup'!$B$22&gt;0,"",MIN(G46:I46))</x:f>
        <x:v>0</x:v>
      </x:c>
      <x:c r="K46" s="24" t="n">
        <x:f>IF('Setup'!$B$22&gt;0,"",MIN(F46,J46))</x:f>
        <x:v>0</x:v>
      </x:c>
      <x:c r="L46" s="24" t="n">
        <x:f>IF('Setup'!$B$22&gt;0,"",MAX(0,F46-K46))</x:f>
        <x:v>40085</x:v>
      </x:c>
      <x:c r="M46" s="23" t="n">
        <x:f>IF('Setup'!$B$22&gt;0,"",IF(J46=0,0,K46/J46))</x:f>
        <x:v>0</x:v>
      </x:c>
      <x:c r="N46" s="25" t="n">
        <x:f>IF('Setup'!$B$22&gt;0,"",SUM('Capacity'!Z21:Z23)*C46)</x:f>
        <x:v>0</x:v>
      </x:c>
      <x:c r="O46" s="25" t="n">
        <x:f>IF('Setup'!$B$22&gt;0,"",SUM('Capacity'!Q21:Q23)*C46)</x:f>
        <x:v>0</x:v>
      </x:c>
      <x:c r="P46" s="1" t="str">
        <x:f>IF('Setup'!$B$22&gt;0,"",IF(C46=0,"Closed",INDEX('Processes'!$A$6:$A$8,MATCH(J46,G46:I46,0))))</x:f>
        <x:v>Closed</x:v>
      </x:c>
      <x:c r="Q46" s="1" t="n">
        <x:f>IF('Setup'!$B$22&gt;0,"",IF(C46=0,0,MAX(0,ROUNDUP(F46/'Capacity'!X21-'Capacity'!Y21,0)-'Capacity'!G21)))</x:f>
        <x:v>0</x:v>
      </x:c>
      <x:c r="R46" s="1" t="n">
        <x:f>IF('Setup'!$B$22&gt;0,"",IF(C46=0,0,MAX(0,ROUNDUP(F46/'Capacity'!X22-'Capacity'!Y22,0)-'Capacity'!G22)))</x:f>
        <x:v>0</x:v>
      </x:c>
      <x:c r="S46" s="1" t="n">
        <x:f>IF('Setup'!$B$22&gt;0,"",IF(C46=0,0,MAX(0,ROUNDUP(F46/'Capacity'!X23-'Capacity'!Y23,0)-'Capacity'!G23)))</x:f>
        <x:v>0</x:v>
      </x:c>
      <x:c r="T46" s="1" t="str">
        <x:f>IF('Setup'!$B$22&gt;0,"",IF(C46=0,IF(L46&gt;'Setup'!$B$7,"Backlog on closed day","Closed"),IF(OR(V46&gt;0,W46&gt;0),"Resolve staffing limits",IF(U46&gt;0,"Resolve physical limit",IF(L46&gt;'Setup'!$B$7,"Close labor capacity gap",IF(L46&gt;0,"Backlog below threshold","Within daily capacity"))))))</x:f>
        <x:v>Backlog on closed day</x:v>
      </x:c>
      <x:c r="U46" s="1" t="n">
        <x:f>IF('Setup'!$B$22&gt;0,"",IF(C46=0,0,MAX(0,F46-INT(MIN('Capacity'!M21:M23)))))</x:f>
        <x:v>0</x:v>
      </x:c>
      <x:c r="V46" s="1" t="n">
        <x:f>IF('Setup'!$B$22&gt;0,"",SUM('Capacity'!T21:T23)*C46)</x:f>
        <x:v>0</x:v>
      </x:c>
      <x:c r="W46" s="1" t="n">
        <x:f>IF('Setup'!$B$22&gt;0,"",SUM('Capacity'!W21:W23)*C46)</x:f>
        <x:v>0</x:v>
      </x:c>
    </x:row>
    <x:row r="47" ht="23" customHeight="1">
      <x:c r="A47" s="20" t="n">
        <x:f>IF('Setup'!$B$22&gt;0,"",'Demand'!A47)</x:f>
        <x:v>46341</x:v>
      </x:c>
      <x:c r="B47" s="1" t="n">
        <x:f>IF('Setup'!$B$22&gt;0,"",'Demand'!B47)</x:f>
        <x:v>6</x:v>
      </x:c>
      <x:c r="C47" s="1" t="n">
        <x:f>IF('Setup'!$B$22&gt;0,"",'Demand'!C47)</x:f>
        <x:v>0</x:v>
      </x:c>
      <x:c r="D47" s="24" t="n">
        <x:f>IF('Setup'!$B$22&gt;0,"",ROUND('Demand'!D47*'Setup'!B17,0))</x:f>
        <x:v>0</x:v>
      </x:c>
      <x:c r="E47" s="24" t="n">
        <x:f>IF('Setup'!$B$22&gt;0,"",L46)</x:f>
        <x:v>40085</x:v>
      </x:c>
      <x:c r="F47" s="24" t="n">
        <x:f>IF('Setup'!$B$22&gt;0,"",D47+E47)</x:f>
        <x:v>40085</x:v>
      </x:c>
      <x:c r="G47" s="24" t="n">
        <x:f>IF('Setup'!$B$22&gt;0,"",'Capacity'!N21*C47)</x:f>
        <x:v>0</x:v>
      </x:c>
      <x:c r="H47" s="24" t="n">
        <x:f>IF('Setup'!$B$22&gt;0,"",'Capacity'!N22*C47)</x:f>
        <x:v>0</x:v>
      </x:c>
      <x:c r="I47" s="24" t="n">
        <x:f>IF('Setup'!$B$22&gt;0,"",'Capacity'!N23*C47)</x:f>
        <x:v>0</x:v>
      </x:c>
      <x:c r="J47" s="24" t="n">
        <x:f>IF('Setup'!$B$22&gt;0,"",MIN(G47:I47))</x:f>
        <x:v>0</x:v>
      </x:c>
      <x:c r="K47" s="24" t="n">
        <x:f>IF('Setup'!$B$22&gt;0,"",MIN(F47,J47))</x:f>
        <x:v>0</x:v>
      </x:c>
      <x:c r="L47" s="24" t="n">
        <x:f>IF('Setup'!$B$22&gt;0,"",MAX(0,F47-K47))</x:f>
        <x:v>40085</x:v>
      </x:c>
      <x:c r="M47" s="23" t="n">
        <x:f>IF('Setup'!$B$22&gt;0,"",IF(J47=0,0,K47/J47))</x:f>
        <x:v>0</x:v>
      </x:c>
      <x:c r="N47" s="25" t="n">
        <x:f>IF('Setup'!$B$22&gt;0,"",SUM('Capacity'!Z21:Z23)*C47)</x:f>
        <x:v>0</x:v>
      </x:c>
      <x:c r="O47" s="25" t="n">
        <x:f>IF('Setup'!$B$22&gt;0,"",SUM('Capacity'!Q21:Q23)*C47)</x:f>
        <x:v>0</x:v>
      </x:c>
      <x:c r="P47" s="1" t="str">
        <x:f>IF('Setup'!$B$22&gt;0,"",IF(C47=0,"Closed",INDEX('Processes'!$A$6:$A$8,MATCH(J47,G47:I47,0))))</x:f>
        <x:v>Closed</x:v>
      </x:c>
      <x:c r="Q47" s="1" t="n">
        <x:f>IF('Setup'!$B$22&gt;0,"",IF(C47=0,0,MAX(0,ROUNDUP(F47/'Capacity'!X21-'Capacity'!Y21,0)-'Capacity'!G21)))</x:f>
        <x:v>0</x:v>
      </x:c>
      <x:c r="R47" s="1" t="n">
        <x:f>IF('Setup'!$B$22&gt;0,"",IF(C47=0,0,MAX(0,ROUNDUP(F47/'Capacity'!X22-'Capacity'!Y22,0)-'Capacity'!G22)))</x:f>
        <x:v>0</x:v>
      </x:c>
      <x:c r="S47" s="1" t="n">
        <x:f>IF('Setup'!$B$22&gt;0,"",IF(C47=0,0,MAX(0,ROUNDUP(F47/'Capacity'!X23-'Capacity'!Y23,0)-'Capacity'!G23)))</x:f>
        <x:v>0</x:v>
      </x:c>
      <x:c r="T47" s="1" t="str">
        <x:f>IF('Setup'!$B$22&gt;0,"",IF(C47=0,IF(L47&gt;'Setup'!$B$7,"Backlog on closed day","Closed"),IF(OR(V47&gt;0,W47&gt;0),"Resolve staffing limits",IF(U47&gt;0,"Resolve physical limit",IF(L47&gt;'Setup'!$B$7,"Close labor capacity gap",IF(L47&gt;0,"Backlog below threshold","Within daily capacity"))))))</x:f>
        <x:v>Backlog on closed day</x:v>
      </x:c>
      <x:c r="U47" s="1" t="n">
        <x:f>IF('Setup'!$B$22&gt;0,"",IF(C47=0,0,MAX(0,F47-INT(MIN('Capacity'!M21:M23)))))</x:f>
        <x:v>0</x:v>
      </x:c>
      <x:c r="V47" s="1" t="n">
        <x:f>IF('Setup'!$B$22&gt;0,"",SUM('Capacity'!T21:T23)*C47)</x:f>
        <x:v>0</x:v>
      </x:c>
      <x:c r="W47" s="1" t="n">
        <x:f>IF('Setup'!$B$22&gt;0,"",SUM('Capacity'!W21:W23)*C47)</x:f>
        <x:v>0</x:v>
      </x:c>
    </x:row>
    <x:row r="48" ht="23" customHeight="1">
      <x:c r="A48" s="20" t="n">
        <x:f>IF('Setup'!$B$22&gt;0,"",'Demand'!A48)</x:f>
        <x:v>46342</x:v>
      </x:c>
      <x:c r="B48" s="1" t="n">
        <x:f>IF('Setup'!$B$22&gt;0,"",'Demand'!B48)</x:f>
        <x:v>7</x:v>
      </x:c>
      <x:c r="C48" s="1" t="n">
        <x:f>IF('Setup'!$B$22&gt;0,"",'Demand'!C48)</x:f>
        <x:v>1</x:v>
      </x:c>
      <x:c r="D48" s="24" t="n">
        <x:f>IF('Setup'!$B$22&gt;0,"",ROUND('Demand'!D48*'Setup'!B17,0))</x:f>
        <x:v>12500</x:v>
      </x:c>
      <x:c r="E48" s="24" t="n">
        <x:f>IF('Setup'!$B$22&gt;0,"",L47)</x:f>
        <x:v>40085</x:v>
      </x:c>
      <x:c r="F48" s="24" t="n">
        <x:f>IF('Setup'!$B$22&gt;0,"",D48+E48)</x:f>
        <x:v>52585</x:v>
      </x:c>
      <x:c r="G48" s="24" t="n">
        <x:f>IF('Setup'!$B$22&gt;0,"",'Capacity'!N24*C48)</x:f>
        <x:v>9531</x:v>
      </x:c>
      <x:c r="H48" s="24" t="n">
        <x:f>IF('Setup'!$B$22&gt;0,"",'Capacity'!N25*C48)</x:f>
        <x:v>8986</x:v>
      </x:c>
      <x:c r="I48" s="24" t="n">
        <x:f>IF('Setup'!$B$22&gt;0,"",'Capacity'!N26*C48)</x:f>
        <x:v>8000</x:v>
      </x:c>
      <x:c r="J48" s="24" t="n">
        <x:f>IF('Setup'!$B$22&gt;0,"",MIN(G48:I48))</x:f>
        <x:v>8000</x:v>
      </x:c>
      <x:c r="K48" s="24" t="n">
        <x:f>IF('Setup'!$B$22&gt;0,"",MIN(F48,J48))</x:f>
        <x:v>8000</x:v>
      </x:c>
      <x:c r="L48" s="24" t="n">
        <x:f>IF('Setup'!$B$22&gt;0,"",MAX(0,F48-K48))</x:f>
        <x:v>44585</x:v>
      </x:c>
      <x:c r="M48" s="23" t="n">
        <x:f>IF('Setup'!$B$22&gt;0,"",IF(J48=0,0,K48/J48))</x:f>
        <x:v>1</x:v>
      </x:c>
      <x:c r="N48" s="25" t="n">
        <x:f>IF('Setup'!$B$22&gt;0,"",SUM('Capacity'!Z24:Z26)*C48)</x:f>
        <x:v>13442.12</x:v>
      </x:c>
      <x:c r="O48" s="25" t="n">
        <x:f>IF('Setup'!$B$22&gt;0,"",SUM('Capacity'!Q24:Q26)*C48)</x:f>
        <x:v>4109.639999999999</x:v>
      </x:c>
      <x:c r="P48" s="1" t="str">
        <x:f>IF('Setup'!$B$22&gt;0,"",IF(C48=0,"Closed",INDEX('Processes'!$A$6:$A$8,MATCH(J48,G48:I48,0))))</x:f>
        <x:v>Ship</x:v>
      </x:c>
      <x:c r="Q48" s="1" t="n">
        <x:f>IF('Setup'!$B$22&gt;0,"",IF(C48=0,0,MAX(0,ROUNDUP(F48/'Capacity'!X24-'Capacity'!Y24,0)-'Capacity'!G24)))</x:f>
        <x:v>127</x:v>
      </x:c>
      <x:c r="R48" s="1" t="n">
        <x:f>IF('Setup'!$B$22&gt;0,"",IF(C48=0,0,MAX(0,ROUNDUP(F48/'Capacity'!X25-'Capacity'!Y25,0)-'Capacity'!G25)))</x:f>
        <x:v>107</x:v>
      </x:c>
      <x:c r="S48" s="1" t="n">
        <x:f>IF('Setup'!$B$22&gt;0,"",IF(C48=0,0,MAX(0,ROUNDUP(F48/'Capacity'!X26-'Capacity'!Y26,0)-'Capacity'!G26)))</x:f>
        <x:v>65</x:v>
      </x:c>
      <x:c r="T48" s="1" t="str">
        <x:f>IF('Setup'!$B$22&gt;0,"",IF(C48=0,IF(L48&gt;'Setup'!$B$7,"Backlog on closed day","Closed"),IF(OR(V48&gt;0,W48&gt;0),"Resolve staffing limits",IF(U48&gt;0,"Resolve physical limit",IF(L48&gt;'Setup'!$B$7,"Close labor capacity gap",IF(L48&gt;0,"Backlog below threshold","Within daily capacity"))))))</x:f>
        <x:v>Resolve physical limit</x:v>
      </x:c>
      <x:c r="U48" s="1" t="n">
        <x:f>IF('Setup'!$B$22&gt;0,"",IF(C48=0,0,MAX(0,F48-INT(MIN('Capacity'!M24:M26)))))</x:f>
        <x:v>44585</x:v>
      </x:c>
      <x:c r="V48" s="1" t="n">
        <x:f>IF('Setup'!$B$22&gt;0,"",SUM('Capacity'!T24:T26)*C48)</x:f>
        <x:v>0</x:v>
      </x:c>
      <x:c r="W48" s="1" t="n">
        <x:f>IF('Setup'!$B$22&gt;0,"",SUM('Capacity'!W24:W26)*C48)</x:f>
        <x:v>0</x:v>
      </x:c>
    </x:row>
    <x:row r="49" ht="23" customHeight="1">
      <x:c r="A49" s="20" t="n">
        <x:f>IF('Setup'!$B$22&gt;0,"",'Demand'!A49)</x:f>
        <x:v>46343</x:v>
      </x:c>
      <x:c r="B49" s="1" t="n">
        <x:f>IF('Setup'!$B$22&gt;0,"",'Demand'!B49)</x:f>
        <x:v>7</x:v>
      </x:c>
      <x:c r="C49" s="1" t="n">
        <x:f>IF('Setup'!$B$22&gt;0,"",'Demand'!C49)</x:f>
        <x:v>1</x:v>
      </x:c>
      <x:c r="D49" s="24" t="n">
        <x:f>IF('Setup'!$B$22&gt;0,"",ROUND('Demand'!D49*'Setup'!B17,0))</x:f>
        <x:v>12500</x:v>
      </x:c>
      <x:c r="E49" s="24" t="n">
        <x:f>IF('Setup'!$B$22&gt;0,"",L48)</x:f>
        <x:v>44585</x:v>
      </x:c>
      <x:c r="F49" s="24" t="n">
        <x:f>IF('Setup'!$B$22&gt;0,"",D49+E49)</x:f>
        <x:v>57085</x:v>
      </x:c>
      <x:c r="G49" s="24" t="n">
        <x:f>IF('Setup'!$B$22&gt;0,"",'Capacity'!N24*C49)</x:f>
        <x:v>9531</x:v>
      </x:c>
      <x:c r="H49" s="24" t="n">
        <x:f>IF('Setup'!$B$22&gt;0,"",'Capacity'!N25*C49)</x:f>
        <x:v>8986</x:v>
      </x:c>
      <x:c r="I49" s="24" t="n">
        <x:f>IF('Setup'!$B$22&gt;0,"",'Capacity'!N26*C49)</x:f>
        <x:v>8000</x:v>
      </x:c>
      <x:c r="J49" s="24" t="n">
        <x:f>IF('Setup'!$B$22&gt;0,"",MIN(G49:I49))</x:f>
        <x:v>8000</x:v>
      </x:c>
      <x:c r="K49" s="24" t="n">
        <x:f>IF('Setup'!$B$22&gt;0,"",MIN(F49,J49))</x:f>
        <x:v>8000</x:v>
      </x:c>
      <x:c r="L49" s="24" t="n">
        <x:f>IF('Setup'!$B$22&gt;0,"",MAX(0,F49-K49))</x:f>
        <x:v>49085</x:v>
      </x:c>
      <x:c r="M49" s="23" t="n">
        <x:f>IF('Setup'!$B$22&gt;0,"",IF(J49=0,0,K49/J49))</x:f>
        <x:v>1</x:v>
      </x:c>
      <x:c r="N49" s="25" t="n">
        <x:f>IF('Setup'!$B$22&gt;0,"",SUM('Capacity'!Z24:Z26)*C49)</x:f>
        <x:v>13442.12</x:v>
      </x:c>
      <x:c r="O49" s="25" t="n">
        <x:f>IF('Setup'!$B$22&gt;0,"",SUM('Capacity'!Q24:Q26)*C49)</x:f>
        <x:v>4109.639999999999</x:v>
      </x:c>
      <x:c r="P49" s="1" t="str">
        <x:f>IF('Setup'!$B$22&gt;0,"",IF(C49=0,"Closed",INDEX('Processes'!$A$6:$A$8,MATCH(J49,G49:I49,0))))</x:f>
        <x:v>Ship</x:v>
      </x:c>
      <x:c r="Q49" s="1" t="n">
        <x:f>IF('Setup'!$B$22&gt;0,"",IF(C49=0,0,MAX(0,ROUNDUP(F49/'Capacity'!X24-'Capacity'!Y24,0)-'Capacity'!G24)))</x:f>
        <x:v>140</x:v>
      </x:c>
      <x:c r="R49" s="1" t="n">
        <x:f>IF('Setup'!$B$22&gt;0,"",IF(C49=0,0,MAX(0,ROUNDUP(F49/'Capacity'!X25-'Capacity'!Y25,0)-'Capacity'!G25)))</x:f>
        <x:v>118</x:v>
      </x:c>
      <x:c r="S49" s="1" t="n">
        <x:f>IF('Setup'!$B$22&gt;0,"",IF(C49=0,0,MAX(0,ROUNDUP(F49/'Capacity'!X26-'Capacity'!Y26,0)-'Capacity'!G26)))</x:f>
        <x:v>71</x:v>
      </x:c>
      <x:c r="T49" s="1" t="str">
        <x:f>IF('Setup'!$B$22&gt;0,"",IF(C49=0,IF(L49&gt;'Setup'!$B$7,"Backlog on closed day","Closed"),IF(OR(V49&gt;0,W49&gt;0),"Resolve staffing limits",IF(U49&gt;0,"Resolve physical limit",IF(L49&gt;'Setup'!$B$7,"Close labor capacity gap",IF(L49&gt;0,"Backlog below threshold","Within daily capacity"))))))</x:f>
        <x:v>Resolve physical limit</x:v>
      </x:c>
      <x:c r="U49" s="1" t="n">
        <x:f>IF('Setup'!$B$22&gt;0,"",IF(C49=0,0,MAX(0,F49-INT(MIN('Capacity'!M24:M26)))))</x:f>
        <x:v>49085</x:v>
      </x:c>
      <x:c r="V49" s="1" t="n">
        <x:f>IF('Setup'!$B$22&gt;0,"",SUM('Capacity'!T24:T26)*C49)</x:f>
        <x:v>0</x:v>
      </x:c>
      <x:c r="W49" s="1" t="n">
        <x:f>IF('Setup'!$B$22&gt;0,"",SUM('Capacity'!W24:W26)*C49)</x:f>
        <x:v>0</x:v>
      </x:c>
    </x:row>
    <x:row r="50" ht="23" customHeight="1">
      <x:c r="A50" s="20" t="n">
        <x:f>IF('Setup'!$B$22&gt;0,"",'Demand'!A50)</x:f>
        <x:v>46344</x:v>
      </x:c>
      <x:c r="B50" s="1" t="n">
        <x:f>IF('Setup'!$B$22&gt;0,"",'Demand'!B50)</x:f>
        <x:v>7</x:v>
      </x:c>
      <x:c r="C50" s="1" t="n">
        <x:f>IF('Setup'!$B$22&gt;0,"",'Demand'!C50)</x:f>
        <x:v>1</x:v>
      </x:c>
      <x:c r="D50" s="24" t="n">
        <x:f>IF('Setup'!$B$22&gt;0,"",ROUND('Demand'!D50*'Setup'!B17,0))</x:f>
        <x:v>12500</x:v>
      </x:c>
      <x:c r="E50" s="24" t="n">
        <x:f>IF('Setup'!$B$22&gt;0,"",L49)</x:f>
        <x:v>49085</x:v>
      </x:c>
      <x:c r="F50" s="24" t="n">
        <x:f>IF('Setup'!$B$22&gt;0,"",D50+E50)</x:f>
        <x:v>61585</x:v>
      </x:c>
      <x:c r="G50" s="24" t="n">
        <x:f>IF('Setup'!$B$22&gt;0,"",'Capacity'!N24*C50)</x:f>
        <x:v>9531</x:v>
      </x:c>
      <x:c r="H50" s="24" t="n">
        <x:f>IF('Setup'!$B$22&gt;0,"",'Capacity'!N25*C50)</x:f>
        <x:v>8986</x:v>
      </x:c>
      <x:c r="I50" s="24" t="n">
        <x:f>IF('Setup'!$B$22&gt;0,"",'Capacity'!N26*C50)</x:f>
        <x:v>8000</x:v>
      </x:c>
      <x:c r="J50" s="24" t="n">
        <x:f>IF('Setup'!$B$22&gt;0,"",MIN(G50:I50))</x:f>
        <x:v>8000</x:v>
      </x:c>
      <x:c r="K50" s="24" t="n">
        <x:f>IF('Setup'!$B$22&gt;0,"",MIN(F50,J50))</x:f>
        <x:v>8000</x:v>
      </x:c>
      <x:c r="L50" s="24" t="n">
        <x:f>IF('Setup'!$B$22&gt;0,"",MAX(0,F50-K50))</x:f>
        <x:v>53585</x:v>
      </x:c>
      <x:c r="M50" s="23" t="n">
        <x:f>IF('Setup'!$B$22&gt;0,"",IF(J50=0,0,K50/J50))</x:f>
        <x:v>1</x:v>
      </x:c>
      <x:c r="N50" s="25" t="n">
        <x:f>IF('Setup'!$B$22&gt;0,"",SUM('Capacity'!Z24:Z26)*C50)</x:f>
        <x:v>13442.12</x:v>
      </x:c>
      <x:c r="O50" s="25" t="n">
        <x:f>IF('Setup'!$B$22&gt;0,"",SUM('Capacity'!Q24:Q26)*C50)</x:f>
        <x:v>4109.639999999999</x:v>
      </x:c>
      <x:c r="P50" s="1" t="str">
        <x:f>IF('Setup'!$B$22&gt;0,"",IF(C50=0,"Closed",INDEX('Processes'!$A$6:$A$8,MATCH(J50,G50:I50,0))))</x:f>
        <x:v>Ship</x:v>
      </x:c>
      <x:c r="Q50" s="1" t="n">
        <x:f>IF('Setup'!$B$22&gt;0,"",IF(C50=0,0,MAX(0,ROUNDUP(F50/'Capacity'!X24-'Capacity'!Y24,0)-'Capacity'!G24)))</x:f>
        <x:v>153</x:v>
      </x:c>
      <x:c r="R50" s="1" t="n">
        <x:f>IF('Setup'!$B$22&gt;0,"",IF(C50=0,0,MAX(0,ROUNDUP(F50/'Capacity'!X25-'Capacity'!Y25,0)-'Capacity'!G25)))</x:f>
        <x:v>129</x:v>
      </x:c>
      <x:c r="S50" s="1" t="n">
        <x:f>IF('Setup'!$B$22&gt;0,"",IF(C50=0,0,MAX(0,ROUNDUP(F50/'Capacity'!X26-'Capacity'!Y26,0)-'Capacity'!G26)))</x:f>
        <x:v>78</x:v>
      </x:c>
      <x:c r="T50" s="1" t="str">
        <x:f>IF('Setup'!$B$22&gt;0,"",IF(C50=0,IF(L50&gt;'Setup'!$B$7,"Backlog on closed day","Closed"),IF(OR(V50&gt;0,W50&gt;0),"Resolve staffing limits",IF(U50&gt;0,"Resolve physical limit",IF(L50&gt;'Setup'!$B$7,"Close labor capacity gap",IF(L50&gt;0,"Backlog below threshold","Within daily capacity"))))))</x:f>
        <x:v>Resolve physical limit</x:v>
      </x:c>
      <x:c r="U50" s="1" t="n">
        <x:f>IF('Setup'!$B$22&gt;0,"",IF(C50=0,0,MAX(0,F50-INT(MIN('Capacity'!M24:M26)))))</x:f>
        <x:v>53585</x:v>
      </x:c>
      <x:c r="V50" s="1" t="n">
        <x:f>IF('Setup'!$B$22&gt;0,"",SUM('Capacity'!T24:T26)*C50)</x:f>
        <x:v>0</x:v>
      </x:c>
      <x:c r="W50" s="1" t="n">
        <x:f>IF('Setup'!$B$22&gt;0,"",SUM('Capacity'!W24:W26)*C50)</x:f>
        <x:v>0</x:v>
      </x:c>
    </x:row>
    <x:row r="51" ht="23" customHeight="1">
      <x:c r="A51" s="20" t="n">
        <x:f>IF('Setup'!$B$22&gt;0,"",'Demand'!A51)</x:f>
        <x:v>46345</x:v>
      </x:c>
      <x:c r="B51" s="1" t="n">
        <x:f>IF('Setup'!$B$22&gt;0,"",'Demand'!B51)</x:f>
        <x:v>7</x:v>
      </x:c>
      <x:c r="C51" s="1" t="n">
        <x:f>IF('Setup'!$B$22&gt;0,"",'Demand'!C51)</x:f>
        <x:v>1</x:v>
      </x:c>
      <x:c r="D51" s="24" t="n">
        <x:f>IF('Setup'!$B$22&gt;0,"",ROUND('Demand'!D51*'Setup'!B17,0))</x:f>
        <x:v>12500</x:v>
      </x:c>
      <x:c r="E51" s="24" t="n">
        <x:f>IF('Setup'!$B$22&gt;0,"",L50)</x:f>
        <x:v>53585</x:v>
      </x:c>
      <x:c r="F51" s="24" t="n">
        <x:f>IF('Setup'!$B$22&gt;0,"",D51+E51)</x:f>
        <x:v>66085</x:v>
      </x:c>
      <x:c r="G51" s="24" t="n">
        <x:f>IF('Setup'!$B$22&gt;0,"",'Capacity'!N24*C51)</x:f>
        <x:v>9531</x:v>
      </x:c>
      <x:c r="H51" s="24" t="n">
        <x:f>IF('Setup'!$B$22&gt;0,"",'Capacity'!N25*C51)</x:f>
        <x:v>8986</x:v>
      </x:c>
      <x:c r="I51" s="24" t="n">
        <x:f>IF('Setup'!$B$22&gt;0,"",'Capacity'!N26*C51)</x:f>
        <x:v>8000</x:v>
      </x:c>
      <x:c r="J51" s="24" t="n">
        <x:f>IF('Setup'!$B$22&gt;0,"",MIN(G51:I51))</x:f>
        <x:v>8000</x:v>
      </x:c>
      <x:c r="K51" s="24" t="n">
        <x:f>IF('Setup'!$B$22&gt;0,"",MIN(F51,J51))</x:f>
        <x:v>8000</x:v>
      </x:c>
      <x:c r="L51" s="24" t="n">
        <x:f>IF('Setup'!$B$22&gt;0,"",MAX(0,F51-K51))</x:f>
        <x:v>58085</x:v>
      </x:c>
      <x:c r="M51" s="23" t="n">
        <x:f>IF('Setup'!$B$22&gt;0,"",IF(J51=0,0,K51/J51))</x:f>
        <x:v>1</x:v>
      </x:c>
      <x:c r="N51" s="25" t="n">
        <x:f>IF('Setup'!$B$22&gt;0,"",SUM('Capacity'!Z24:Z26)*C51)</x:f>
        <x:v>13442.12</x:v>
      </x:c>
      <x:c r="O51" s="25" t="n">
        <x:f>IF('Setup'!$B$22&gt;0,"",SUM('Capacity'!Q24:Q26)*C51)</x:f>
        <x:v>4109.639999999999</x:v>
      </x:c>
      <x:c r="P51" s="1" t="str">
        <x:f>IF('Setup'!$B$22&gt;0,"",IF(C51=0,"Closed",INDEX('Processes'!$A$6:$A$8,MATCH(J51,G51:I51,0))))</x:f>
        <x:v>Ship</x:v>
      </x:c>
      <x:c r="Q51" s="1" t="n">
        <x:f>IF('Setup'!$B$22&gt;0,"",IF(C51=0,0,MAX(0,ROUNDUP(F51/'Capacity'!X24-'Capacity'!Y24,0)-'Capacity'!G24)))</x:f>
        <x:v>167</x:v>
      </x:c>
      <x:c r="R51" s="1" t="n">
        <x:f>IF('Setup'!$B$22&gt;0,"",IF(C51=0,0,MAX(0,ROUNDUP(F51/'Capacity'!X25-'Capacity'!Y25,0)-'Capacity'!G25)))</x:f>
        <x:v>140</x:v>
      </x:c>
      <x:c r="S51" s="1" t="n">
        <x:f>IF('Setup'!$B$22&gt;0,"",IF(C51=0,0,MAX(0,ROUNDUP(F51/'Capacity'!X26-'Capacity'!Y26,0)-'Capacity'!G26)))</x:f>
        <x:v>85</x:v>
      </x:c>
      <x:c r="T51" s="1" t="str">
        <x:f>IF('Setup'!$B$22&gt;0,"",IF(C51=0,IF(L51&gt;'Setup'!$B$7,"Backlog on closed day","Closed"),IF(OR(V51&gt;0,W51&gt;0),"Resolve staffing limits",IF(U51&gt;0,"Resolve physical limit",IF(L51&gt;'Setup'!$B$7,"Close labor capacity gap",IF(L51&gt;0,"Backlog below threshold","Within daily capacity"))))))</x:f>
        <x:v>Resolve physical limit</x:v>
      </x:c>
      <x:c r="U51" s="1" t="n">
        <x:f>IF('Setup'!$B$22&gt;0,"",IF(C51=0,0,MAX(0,F51-INT(MIN('Capacity'!M24:M26)))))</x:f>
        <x:v>58085</x:v>
      </x:c>
      <x:c r="V51" s="1" t="n">
        <x:f>IF('Setup'!$B$22&gt;0,"",SUM('Capacity'!T24:T26)*C51)</x:f>
        <x:v>0</x:v>
      </x:c>
      <x:c r="W51" s="1" t="n">
        <x:f>IF('Setup'!$B$22&gt;0,"",SUM('Capacity'!W24:W26)*C51)</x:f>
        <x:v>0</x:v>
      </x:c>
    </x:row>
    <x:row r="52" ht="23" customHeight="1">
      <x:c r="A52" s="20" t="n">
        <x:f>IF('Setup'!$B$22&gt;0,"",'Demand'!A52)</x:f>
        <x:v>46346</x:v>
      </x:c>
      <x:c r="B52" s="1" t="n">
        <x:f>IF('Setup'!$B$22&gt;0,"",'Demand'!B52)</x:f>
        <x:v>7</x:v>
      </x:c>
      <x:c r="C52" s="1" t="n">
        <x:f>IF('Setup'!$B$22&gt;0,"",'Demand'!C52)</x:f>
        <x:v>1</x:v>
      </x:c>
      <x:c r="D52" s="24" t="n">
        <x:f>IF('Setup'!$B$22&gt;0,"",ROUND('Demand'!D52*'Setup'!B17,0))</x:f>
        <x:v>12500</x:v>
      </x:c>
      <x:c r="E52" s="24" t="n">
        <x:f>IF('Setup'!$B$22&gt;0,"",L51)</x:f>
        <x:v>58085</x:v>
      </x:c>
      <x:c r="F52" s="24" t="n">
        <x:f>IF('Setup'!$B$22&gt;0,"",D52+E52)</x:f>
        <x:v>70585</x:v>
      </x:c>
      <x:c r="G52" s="24" t="n">
        <x:f>IF('Setup'!$B$22&gt;0,"",'Capacity'!N24*C52)</x:f>
        <x:v>9531</x:v>
      </x:c>
      <x:c r="H52" s="24" t="n">
        <x:f>IF('Setup'!$B$22&gt;0,"",'Capacity'!N25*C52)</x:f>
        <x:v>8986</x:v>
      </x:c>
      <x:c r="I52" s="24" t="n">
        <x:f>IF('Setup'!$B$22&gt;0,"",'Capacity'!N26*C52)</x:f>
        <x:v>8000</x:v>
      </x:c>
      <x:c r="J52" s="24" t="n">
        <x:f>IF('Setup'!$B$22&gt;0,"",MIN(G52:I52))</x:f>
        <x:v>8000</x:v>
      </x:c>
      <x:c r="K52" s="24" t="n">
        <x:f>IF('Setup'!$B$22&gt;0,"",MIN(F52,J52))</x:f>
        <x:v>8000</x:v>
      </x:c>
      <x:c r="L52" s="24" t="n">
        <x:f>IF('Setup'!$B$22&gt;0,"",MAX(0,F52-K52))</x:f>
        <x:v>62585</x:v>
      </x:c>
      <x:c r="M52" s="23" t="n">
        <x:f>IF('Setup'!$B$22&gt;0,"",IF(J52=0,0,K52/J52))</x:f>
        <x:v>1</x:v>
      </x:c>
      <x:c r="N52" s="25" t="n">
        <x:f>IF('Setup'!$B$22&gt;0,"",SUM('Capacity'!Z24:Z26)*C52)</x:f>
        <x:v>13442.12</x:v>
      </x:c>
      <x:c r="O52" s="25" t="n">
        <x:f>IF('Setup'!$B$22&gt;0,"",SUM('Capacity'!Q24:Q26)*C52)</x:f>
        <x:v>4109.639999999999</x:v>
      </x:c>
      <x:c r="P52" s="1" t="str">
        <x:f>IF('Setup'!$B$22&gt;0,"",IF(C52=0,"Closed",INDEX('Processes'!$A$6:$A$8,MATCH(J52,G52:I52,0))))</x:f>
        <x:v>Ship</x:v>
      </x:c>
      <x:c r="Q52" s="1" t="n">
        <x:f>IF('Setup'!$B$22&gt;0,"",IF(C52=0,0,MAX(0,ROUNDUP(F52/'Capacity'!X24-'Capacity'!Y24,0)-'Capacity'!G24)))</x:f>
        <x:v>180</x:v>
      </x:c>
      <x:c r="R52" s="1" t="n">
        <x:f>IF('Setup'!$B$22&gt;0,"",IF(C52=0,0,MAX(0,ROUNDUP(F52/'Capacity'!X25-'Capacity'!Y25,0)-'Capacity'!G25)))</x:f>
        <x:v>151</x:v>
      </x:c>
      <x:c r="S52" s="1" t="n">
        <x:f>IF('Setup'!$B$22&gt;0,"",IF(C52=0,0,MAX(0,ROUNDUP(F52/'Capacity'!X26-'Capacity'!Y26,0)-'Capacity'!G26)))</x:f>
        <x:v>91</x:v>
      </x:c>
      <x:c r="T52" s="1" t="str">
        <x:f>IF('Setup'!$B$22&gt;0,"",IF(C52=0,IF(L52&gt;'Setup'!$B$7,"Backlog on closed day","Closed"),IF(OR(V52&gt;0,W52&gt;0),"Resolve staffing limits",IF(U52&gt;0,"Resolve physical limit",IF(L52&gt;'Setup'!$B$7,"Close labor capacity gap",IF(L52&gt;0,"Backlog below threshold","Within daily capacity"))))))</x:f>
        <x:v>Resolve physical limit</x:v>
      </x:c>
      <x:c r="U52" s="1" t="n">
        <x:f>IF('Setup'!$B$22&gt;0,"",IF(C52=0,0,MAX(0,F52-INT(MIN('Capacity'!M24:M26)))))</x:f>
        <x:v>62585</x:v>
      </x:c>
      <x:c r="V52" s="1" t="n">
        <x:f>IF('Setup'!$B$22&gt;0,"",SUM('Capacity'!T24:T26)*C52)</x:f>
        <x:v>0</x:v>
      </x:c>
      <x:c r="W52" s="1" t="n">
        <x:f>IF('Setup'!$B$22&gt;0,"",SUM('Capacity'!W24:W26)*C52)</x:f>
        <x:v>0</x:v>
      </x:c>
    </x:row>
    <x:row r="53" ht="23" customHeight="1">
      <x:c r="A53" s="20" t="n">
        <x:f>IF('Setup'!$B$22&gt;0,"",'Demand'!A53)</x:f>
        <x:v>46347</x:v>
      </x:c>
      <x:c r="B53" s="1" t="n">
        <x:f>IF('Setup'!$B$22&gt;0,"",'Demand'!B53)</x:f>
        <x:v>7</x:v>
      </x:c>
      <x:c r="C53" s="1" t="n">
        <x:f>IF('Setup'!$B$22&gt;0,"",'Demand'!C53)</x:f>
        <x:v>0</x:v>
      </x:c>
      <x:c r="D53" s="24" t="n">
        <x:f>IF('Setup'!$B$22&gt;0,"",ROUND('Demand'!D53*'Setup'!B17,0))</x:f>
        <x:v>0</x:v>
      </x:c>
      <x:c r="E53" s="24" t="n">
        <x:f>IF('Setup'!$B$22&gt;0,"",L52)</x:f>
        <x:v>62585</x:v>
      </x:c>
      <x:c r="F53" s="24" t="n">
        <x:f>IF('Setup'!$B$22&gt;0,"",D53+E53)</x:f>
        <x:v>62585</x:v>
      </x:c>
      <x:c r="G53" s="24" t="n">
        <x:f>IF('Setup'!$B$22&gt;0,"",'Capacity'!N24*C53)</x:f>
        <x:v>0</x:v>
      </x:c>
      <x:c r="H53" s="24" t="n">
        <x:f>IF('Setup'!$B$22&gt;0,"",'Capacity'!N25*C53)</x:f>
        <x:v>0</x:v>
      </x:c>
      <x:c r="I53" s="24" t="n">
        <x:f>IF('Setup'!$B$22&gt;0,"",'Capacity'!N26*C53)</x:f>
        <x:v>0</x:v>
      </x:c>
      <x:c r="J53" s="24" t="n">
        <x:f>IF('Setup'!$B$22&gt;0,"",MIN(G53:I53))</x:f>
        <x:v>0</x:v>
      </x:c>
      <x:c r="K53" s="24" t="n">
        <x:f>IF('Setup'!$B$22&gt;0,"",MIN(F53,J53))</x:f>
        <x:v>0</x:v>
      </x:c>
      <x:c r="L53" s="24" t="n">
        <x:f>IF('Setup'!$B$22&gt;0,"",MAX(0,F53-K53))</x:f>
        <x:v>62585</x:v>
      </x:c>
      <x:c r="M53" s="23" t="n">
        <x:f>IF('Setup'!$B$22&gt;0,"",IF(J53=0,0,K53/J53))</x:f>
        <x:v>0</x:v>
      </x:c>
      <x:c r="N53" s="25" t="n">
        <x:f>IF('Setup'!$B$22&gt;0,"",SUM('Capacity'!Z24:Z26)*C53)</x:f>
        <x:v>0</x:v>
      </x:c>
      <x:c r="O53" s="25" t="n">
        <x:f>IF('Setup'!$B$22&gt;0,"",SUM('Capacity'!Q24:Q26)*C53)</x:f>
        <x:v>0</x:v>
      </x:c>
      <x:c r="P53" s="1" t="str">
        <x:f>IF('Setup'!$B$22&gt;0,"",IF(C53=0,"Closed",INDEX('Processes'!$A$6:$A$8,MATCH(J53,G53:I53,0))))</x:f>
        <x:v>Closed</x:v>
      </x:c>
      <x:c r="Q53" s="1" t="n">
        <x:f>IF('Setup'!$B$22&gt;0,"",IF(C53=0,0,MAX(0,ROUNDUP(F53/'Capacity'!X24-'Capacity'!Y24,0)-'Capacity'!G24)))</x:f>
        <x:v>0</x:v>
      </x:c>
      <x:c r="R53" s="1" t="n">
        <x:f>IF('Setup'!$B$22&gt;0,"",IF(C53=0,0,MAX(0,ROUNDUP(F53/'Capacity'!X25-'Capacity'!Y25,0)-'Capacity'!G25)))</x:f>
        <x:v>0</x:v>
      </x:c>
      <x:c r="S53" s="1" t="n">
        <x:f>IF('Setup'!$B$22&gt;0,"",IF(C53=0,0,MAX(0,ROUNDUP(F53/'Capacity'!X26-'Capacity'!Y26,0)-'Capacity'!G26)))</x:f>
        <x:v>0</x:v>
      </x:c>
      <x:c r="T53" s="1" t="str">
        <x:f>IF('Setup'!$B$22&gt;0,"",IF(C53=0,IF(L53&gt;'Setup'!$B$7,"Backlog on closed day","Closed"),IF(OR(V53&gt;0,W53&gt;0),"Resolve staffing limits",IF(U53&gt;0,"Resolve physical limit",IF(L53&gt;'Setup'!$B$7,"Close labor capacity gap",IF(L53&gt;0,"Backlog below threshold","Within daily capacity"))))))</x:f>
        <x:v>Backlog on closed day</x:v>
      </x:c>
      <x:c r="U53" s="1" t="n">
        <x:f>IF('Setup'!$B$22&gt;0,"",IF(C53=0,0,MAX(0,F53-INT(MIN('Capacity'!M24:M26)))))</x:f>
        <x:v>0</x:v>
      </x:c>
      <x:c r="V53" s="1" t="n">
        <x:f>IF('Setup'!$B$22&gt;0,"",SUM('Capacity'!T24:T26)*C53)</x:f>
        <x:v>0</x:v>
      </x:c>
      <x:c r="W53" s="1" t="n">
        <x:f>IF('Setup'!$B$22&gt;0,"",SUM('Capacity'!W24:W26)*C53)</x:f>
        <x:v>0</x:v>
      </x:c>
    </x:row>
    <x:row r="54" ht="23" customHeight="1">
      <x:c r="A54" s="20" t="n">
        <x:f>IF('Setup'!$B$22&gt;0,"",'Demand'!A54)</x:f>
        <x:v>46348</x:v>
      </x:c>
      <x:c r="B54" s="1" t="n">
        <x:f>IF('Setup'!$B$22&gt;0,"",'Demand'!B54)</x:f>
        <x:v>7</x:v>
      </x:c>
      <x:c r="C54" s="1" t="n">
        <x:f>IF('Setup'!$B$22&gt;0,"",'Demand'!C54)</x:f>
        <x:v>0</x:v>
      </x:c>
      <x:c r="D54" s="24" t="n">
        <x:f>IF('Setup'!$B$22&gt;0,"",ROUND('Demand'!D54*'Setup'!B17,0))</x:f>
        <x:v>0</x:v>
      </x:c>
      <x:c r="E54" s="24" t="n">
        <x:f>IF('Setup'!$B$22&gt;0,"",L53)</x:f>
        <x:v>62585</x:v>
      </x:c>
      <x:c r="F54" s="24" t="n">
        <x:f>IF('Setup'!$B$22&gt;0,"",D54+E54)</x:f>
        <x:v>62585</x:v>
      </x:c>
      <x:c r="G54" s="24" t="n">
        <x:f>IF('Setup'!$B$22&gt;0,"",'Capacity'!N24*C54)</x:f>
        <x:v>0</x:v>
      </x:c>
      <x:c r="H54" s="24" t="n">
        <x:f>IF('Setup'!$B$22&gt;0,"",'Capacity'!N25*C54)</x:f>
        <x:v>0</x:v>
      </x:c>
      <x:c r="I54" s="24" t="n">
        <x:f>IF('Setup'!$B$22&gt;0,"",'Capacity'!N26*C54)</x:f>
        <x:v>0</x:v>
      </x:c>
      <x:c r="J54" s="24" t="n">
        <x:f>IF('Setup'!$B$22&gt;0,"",MIN(G54:I54))</x:f>
        <x:v>0</x:v>
      </x:c>
      <x:c r="K54" s="24" t="n">
        <x:f>IF('Setup'!$B$22&gt;0,"",MIN(F54,J54))</x:f>
        <x:v>0</x:v>
      </x:c>
      <x:c r="L54" s="24" t="n">
        <x:f>IF('Setup'!$B$22&gt;0,"",MAX(0,F54-K54))</x:f>
        <x:v>62585</x:v>
      </x:c>
      <x:c r="M54" s="23" t="n">
        <x:f>IF('Setup'!$B$22&gt;0,"",IF(J54=0,0,K54/J54))</x:f>
        <x:v>0</x:v>
      </x:c>
      <x:c r="N54" s="25" t="n">
        <x:f>IF('Setup'!$B$22&gt;0,"",SUM('Capacity'!Z24:Z26)*C54)</x:f>
        <x:v>0</x:v>
      </x:c>
      <x:c r="O54" s="25" t="n">
        <x:f>IF('Setup'!$B$22&gt;0,"",SUM('Capacity'!Q24:Q26)*C54)</x:f>
        <x:v>0</x:v>
      </x:c>
      <x:c r="P54" s="1" t="str">
        <x:f>IF('Setup'!$B$22&gt;0,"",IF(C54=0,"Closed",INDEX('Processes'!$A$6:$A$8,MATCH(J54,G54:I54,0))))</x:f>
        <x:v>Closed</x:v>
      </x:c>
      <x:c r="Q54" s="1" t="n">
        <x:f>IF('Setup'!$B$22&gt;0,"",IF(C54=0,0,MAX(0,ROUNDUP(F54/'Capacity'!X24-'Capacity'!Y24,0)-'Capacity'!G24)))</x:f>
        <x:v>0</x:v>
      </x:c>
      <x:c r="R54" s="1" t="n">
        <x:f>IF('Setup'!$B$22&gt;0,"",IF(C54=0,0,MAX(0,ROUNDUP(F54/'Capacity'!X25-'Capacity'!Y25,0)-'Capacity'!G25)))</x:f>
        <x:v>0</x:v>
      </x:c>
      <x:c r="S54" s="1" t="n">
        <x:f>IF('Setup'!$B$22&gt;0,"",IF(C54=0,0,MAX(0,ROUNDUP(F54/'Capacity'!X26-'Capacity'!Y26,0)-'Capacity'!G26)))</x:f>
        <x:v>0</x:v>
      </x:c>
      <x:c r="T54" s="1" t="str">
        <x:f>IF('Setup'!$B$22&gt;0,"",IF(C54=0,IF(L54&gt;'Setup'!$B$7,"Backlog on closed day","Closed"),IF(OR(V54&gt;0,W54&gt;0),"Resolve staffing limits",IF(U54&gt;0,"Resolve physical limit",IF(L54&gt;'Setup'!$B$7,"Close labor capacity gap",IF(L54&gt;0,"Backlog below threshold","Within daily capacity"))))))</x:f>
        <x:v>Backlog on closed day</x:v>
      </x:c>
      <x:c r="U54" s="1" t="n">
        <x:f>IF('Setup'!$B$22&gt;0,"",IF(C54=0,0,MAX(0,F54-INT(MIN('Capacity'!M24:M26)))))</x:f>
        <x:v>0</x:v>
      </x:c>
      <x:c r="V54" s="1" t="n">
        <x:f>IF('Setup'!$B$22&gt;0,"",SUM('Capacity'!T24:T26)*C54)</x:f>
        <x:v>0</x:v>
      </x:c>
      <x:c r="W54" s="1" t="n">
        <x:f>IF('Setup'!$B$22&gt;0,"",SUM('Capacity'!W24:W26)*C54)</x:f>
        <x:v>0</x:v>
      </x:c>
    </x:row>
    <x:row r="55" ht="23" customHeight="1">
      <x:c r="A55" s="20" t="n">
        <x:f>IF('Setup'!$B$22&gt;0,"",'Demand'!A55)</x:f>
        <x:v>46349</x:v>
      </x:c>
      <x:c r="B55" s="1" t="n">
        <x:f>IF('Setup'!$B$22&gt;0,"",'Demand'!B55)</x:f>
        <x:v>8</x:v>
      </x:c>
      <x:c r="C55" s="1" t="n">
        <x:f>IF('Setup'!$B$22&gt;0,"",'Demand'!C55)</x:f>
        <x:v>1</x:v>
      </x:c>
      <x:c r="D55" s="24" t="n">
        <x:f>IF('Setup'!$B$22&gt;0,"",ROUND('Demand'!D55*'Setup'!B17,0))</x:f>
        <x:v>14000</x:v>
      </x:c>
      <x:c r="E55" s="24" t="n">
        <x:f>IF('Setup'!$B$22&gt;0,"",L54)</x:f>
        <x:v>62585</x:v>
      </x:c>
      <x:c r="F55" s="24" t="n">
        <x:f>IF('Setup'!$B$22&gt;0,"",D55+E55)</x:f>
        <x:v>76585</x:v>
      </x:c>
      <x:c r="G55" s="24" t="n">
        <x:f>IF('Setup'!$B$22&gt;0,"",'Capacity'!N27*C55)</x:f>
        <x:v>9531</x:v>
      </x:c>
      <x:c r="H55" s="24" t="n">
        <x:f>IF('Setup'!$B$22&gt;0,"",'Capacity'!N28*C55)</x:f>
        <x:v>8986</x:v>
      </x:c>
      <x:c r="I55" s="24" t="n">
        <x:f>IF('Setup'!$B$22&gt;0,"",'Capacity'!N29*C55)</x:f>
        <x:v>8000</x:v>
      </x:c>
      <x:c r="J55" s="24" t="n">
        <x:f>IF('Setup'!$B$22&gt;0,"",MIN(G55:I55))</x:f>
        <x:v>8000</x:v>
      </x:c>
      <x:c r="K55" s="24" t="n">
        <x:f>IF('Setup'!$B$22&gt;0,"",MIN(F55,J55))</x:f>
        <x:v>8000</x:v>
      </x:c>
      <x:c r="L55" s="24" t="n">
        <x:f>IF('Setup'!$B$22&gt;0,"",MAX(0,F55-K55))</x:f>
        <x:v>68585</x:v>
      </x:c>
      <x:c r="M55" s="23" t="n">
        <x:f>IF('Setup'!$B$22&gt;0,"",IF(J55=0,0,K55/J55))</x:f>
        <x:v>1</x:v>
      </x:c>
      <x:c r="N55" s="25" t="n">
        <x:f>IF('Setup'!$B$22&gt;0,"",SUM('Capacity'!Z27:Z29)*C55)</x:f>
        <x:v>13442.12</x:v>
      </x:c>
      <x:c r="O55" s="25" t="n">
        <x:f>IF('Setup'!$B$22&gt;0,"",SUM('Capacity'!Q27:Q29)*C55)</x:f>
        <x:v>4109.639999999999</x:v>
      </x:c>
      <x:c r="P55" s="1" t="str">
        <x:f>IF('Setup'!$B$22&gt;0,"",IF(C55=0,"Closed",INDEX('Processes'!$A$6:$A$8,MATCH(J55,G55:I55,0))))</x:f>
        <x:v>Ship</x:v>
      </x:c>
      <x:c r="Q55" s="1" t="n">
        <x:f>IF('Setup'!$B$22&gt;0,"",IF(C55=0,0,MAX(0,ROUNDUP(F55/'Capacity'!X27-'Capacity'!Y27,0)-'Capacity'!G27)))</x:f>
        <x:v>197</x:v>
      </x:c>
      <x:c r="R55" s="1" t="n">
        <x:f>IF('Setup'!$B$22&gt;0,"",IF(C55=0,0,MAX(0,ROUNDUP(F55/'Capacity'!X28-'Capacity'!Y28,0)-'Capacity'!G28)))</x:f>
        <x:v>166</x:v>
      </x:c>
      <x:c r="S55" s="1" t="n">
        <x:f>IF('Setup'!$B$22&gt;0,"",IF(C55=0,0,MAX(0,ROUNDUP(F55/'Capacity'!X29-'Capacity'!Y29,0)-'Capacity'!G29)))</x:f>
        <x:v>100</x:v>
      </x:c>
      <x:c r="T55" s="1" t="str">
        <x:f>IF('Setup'!$B$22&gt;0,"",IF(C55=0,IF(L55&gt;'Setup'!$B$7,"Backlog on closed day","Closed"),IF(OR(V55&gt;0,W55&gt;0),"Resolve staffing limits",IF(U55&gt;0,"Resolve physical limit",IF(L55&gt;'Setup'!$B$7,"Close labor capacity gap",IF(L55&gt;0,"Backlog below threshold","Within daily capacity"))))))</x:f>
        <x:v>Resolve physical limit</x:v>
      </x:c>
      <x:c r="U55" s="1" t="n">
        <x:f>IF('Setup'!$B$22&gt;0,"",IF(C55=0,0,MAX(0,F55-INT(MIN('Capacity'!M27:M29)))))</x:f>
        <x:v>68585</x:v>
      </x:c>
      <x:c r="V55" s="1" t="n">
        <x:f>IF('Setup'!$B$22&gt;0,"",SUM('Capacity'!T27:T29)*C55)</x:f>
        <x:v>0</x:v>
      </x:c>
      <x:c r="W55" s="1" t="n">
        <x:f>IF('Setup'!$B$22&gt;0,"",SUM('Capacity'!W27:W29)*C55)</x:f>
        <x:v>0</x:v>
      </x:c>
    </x:row>
    <x:row r="56" ht="23" customHeight="1">
      <x:c r="A56" s="20" t="n">
        <x:f>IF('Setup'!$B$22&gt;0,"",'Demand'!A56)</x:f>
        <x:v>46350</x:v>
      </x:c>
      <x:c r="B56" s="1" t="n">
        <x:f>IF('Setup'!$B$22&gt;0,"",'Demand'!B56)</x:f>
        <x:v>8</x:v>
      </x:c>
      <x:c r="C56" s="1" t="n">
        <x:f>IF('Setup'!$B$22&gt;0,"",'Demand'!C56)</x:f>
        <x:v>1</x:v>
      </x:c>
      <x:c r="D56" s="24" t="n">
        <x:f>IF('Setup'!$B$22&gt;0,"",ROUND('Demand'!D56*'Setup'!B17,0))</x:f>
        <x:v>14000</x:v>
      </x:c>
      <x:c r="E56" s="24" t="n">
        <x:f>IF('Setup'!$B$22&gt;0,"",L55)</x:f>
        <x:v>68585</x:v>
      </x:c>
      <x:c r="F56" s="24" t="n">
        <x:f>IF('Setup'!$B$22&gt;0,"",D56+E56)</x:f>
        <x:v>82585</x:v>
      </x:c>
      <x:c r="G56" s="24" t="n">
        <x:f>IF('Setup'!$B$22&gt;0,"",'Capacity'!N27*C56)</x:f>
        <x:v>9531</x:v>
      </x:c>
      <x:c r="H56" s="24" t="n">
        <x:f>IF('Setup'!$B$22&gt;0,"",'Capacity'!N28*C56)</x:f>
        <x:v>8986</x:v>
      </x:c>
      <x:c r="I56" s="24" t="n">
        <x:f>IF('Setup'!$B$22&gt;0,"",'Capacity'!N29*C56)</x:f>
        <x:v>8000</x:v>
      </x:c>
      <x:c r="J56" s="24" t="n">
        <x:f>IF('Setup'!$B$22&gt;0,"",MIN(G56:I56))</x:f>
        <x:v>8000</x:v>
      </x:c>
      <x:c r="K56" s="24" t="n">
        <x:f>IF('Setup'!$B$22&gt;0,"",MIN(F56,J56))</x:f>
        <x:v>8000</x:v>
      </x:c>
      <x:c r="L56" s="24" t="n">
        <x:f>IF('Setup'!$B$22&gt;0,"",MAX(0,F56-K56))</x:f>
        <x:v>74585</x:v>
      </x:c>
      <x:c r="M56" s="23" t="n">
        <x:f>IF('Setup'!$B$22&gt;0,"",IF(J56=0,0,K56/J56))</x:f>
        <x:v>1</x:v>
      </x:c>
      <x:c r="N56" s="25" t="n">
        <x:f>IF('Setup'!$B$22&gt;0,"",SUM('Capacity'!Z27:Z29)*C56)</x:f>
        <x:v>13442.12</x:v>
      </x:c>
      <x:c r="O56" s="25" t="n">
        <x:f>IF('Setup'!$B$22&gt;0,"",SUM('Capacity'!Q27:Q29)*C56)</x:f>
        <x:v>4109.639999999999</x:v>
      </x:c>
      <x:c r="P56" s="1" t="str">
        <x:f>IF('Setup'!$B$22&gt;0,"",IF(C56=0,"Closed",INDEX('Processes'!$A$6:$A$8,MATCH(J56,G56:I56,0))))</x:f>
        <x:v>Ship</x:v>
      </x:c>
      <x:c r="Q56" s="1" t="n">
        <x:f>IF('Setup'!$B$22&gt;0,"",IF(C56=0,0,MAX(0,ROUNDUP(F56/'Capacity'!X27-'Capacity'!Y27,0)-'Capacity'!G27)))</x:f>
        <x:v>215</x:v>
      </x:c>
      <x:c r="R56" s="1" t="n">
        <x:f>IF('Setup'!$B$22&gt;0,"",IF(C56=0,0,MAX(0,ROUNDUP(F56/'Capacity'!X28-'Capacity'!Y28,0)-'Capacity'!G28)))</x:f>
        <x:v>181</x:v>
      </x:c>
      <x:c r="S56" s="1" t="n">
        <x:f>IF('Setup'!$B$22&gt;0,"",IF(C56=0,0,MAX(0,ROUNDUP(F56/'Capacity'!X29-'Capacity'!Y29,0)-'Capacity'!G29)))</x:f>
        <x:v>109</x:v>
      </x:c>
      <x:c r="T56" s="1" t="str">
        <x:f>IF('Setup'!$B$22&gt;0,"",IF(C56=0,IF(L56&gt;'Setup'!$B$7,"Backlog on closed day","Closed"),IF(OR(V56&gt;0,W56&gt;0),"Resolve staffing limits",IF(U56&gt;0,"Resolve physical limit",IF(L56&gt;'Setup'!$B$7,"Close labor capacity gap",IF(L56&gt;0,"Backlog below threshold","Within daily capacity"))))))</x:f>
        <x:v>Resolve physical limit</x:v>
      </x:c>
      <x:c r="U56" s="1" t="n">
        <x:f>IF('Setup'!$B$22&gt;0,"",IF(C56=0,0,MAX(0,F56-INT(MIN('Capacity'!M27:M29)))))</x:f>
        <x:v>74585</x:v>
      </x:c>
      <x:c r="V56" s="1" t="n">
        <x:f>IF('Setup'!$B$22&gt;0,"",SUM('Capacity'!T27:T29)*C56)</x:f>
        <x:v>0</x:v>
      </x:c>
      <x:c r="W56" s="1" t="n">
        <x:f>IF('Setup'!$B$22&gt;0,"",SUM('Capacity'!W27:W29)*C56)</x:f>
        <x:v>0</x:v>
      </x:c>
    </x:row>
    <x:row r="57" ht="23" customHeight="1">
      <x:c r="A57" s="20" t="n">
        <x:f>IF('Setup'!$B$22&gt;0,"",'Demand'!A57)</x:f>
        <x:v>46351</x:v>
      </x:c>
      <x:c r="B57" s="1" t="n">
        <x:f>IF('Setup'!$B$22&gt;0,"",'Demand'!B57)</x:f>
        <x:v>8</x:v>
      </x:c>
      <x:c r="C57" s="1" t="n">
        <x:f>IF('Setup'!$B$22&gt;0,"",'Demand'!C57)</x:f>
        <x:v>1</x:v>
      </x:c>
      <x:c r="D57" s="24" t="n">
        <x:f>IF('Setup'!$B$22&gt;0,"",ROUND('Demand'!D57*'Setup'!B17,0))</x:f>
        <x:v>14000</x:v>
      </x:c>
      <x:c r="E57" s="24" t="n">
        <x:f>IF('Setup'!$B$22&gt;0,"",L56)</x:f>
        <x:v>74585</x:v>
      </x:c>
      <x:c r="F57" s="24" t="n">
        <x:f>IF('Setup'!$B$22&gt;0,"",D57+E57)</x:f>
        <x:v>88585</x:v>
      </x:c>
      <x:c r="G57" s="24" t="n">
        <x:f>IF('Setup'!$B$22&gt;0,"",'Capacity'!N27*C57)</x:f>
        <x:v>9531</x:v>
      </x:c>
      <x:c r="H57" s="24" t="n">
        <x:f>IF('Setup'!$B$22&gt;0,"",'Capacity'!N28*C57)</x:f>
        <x:v>8986</x:v>
      </x:c>
      <x:c r="I57" s="24" t="n">
        <x:f>IF('Setup'!$B$22&gt;0,"",'Capacity'!N29*C57)</x:f>
        <x:v>8000</x:v>
      </x:c>
      <x:c r="J57" s="24" t="n">
        <x:f>IF('Setup'!$B$22&gt;0,"",MIN(G57:I57))</x:f>
        <x:v>8000</x:v>
      </x:c>
      <x:c r="K57" s="24" t="n">
        <x:f>IF('Setup'!$B$22&gt;0,"",MIN(F57,J57))</x:f>
        <x:v>8000</x:v>
      </x:c>
      <x:c r="L57" s="24" t="n">
        <x:f>IF('Setup'!$B$22&gt;0,"",MAX(0,F57-K57))</x:f>
        <x:v>80585</x:v>
      </x:c>
      <x:c r="M57" s="23" t="n">
        <x:f>IF('Setup'!$B$22&gt;0,"",IF(J57=0,0,K57/J57))</x:f>
        <x:v>1</x:v>
      </x:c>
      <x:c r="N57" s="25" t="n">
        <x:f>IF('Setup'!$B$22&gt;0,"",SUM('Capacity'!Z27:Z29)*C57)</x:f>
        <x:v>13442.12</x:v>
      </x:c>
      <x:c r="O57" s="25" t="n">
        <x:f>IF('Setup'!$B$22&gt;0,"",SUM('Capacity'!Q27:Q29)*C57)</x:f>
        <x:v>4109.639999999999</x:v>
      </x:c>
      <x:c r="P57" s="1" t="str">
        <x:f>IF('Setup'!$B$22&gt;0,"",IF(C57=0,"Closed",INDEX('Processes'!$A$6:$A$8,MATCH(J57,G57:I57,0))))</x:f>
        <x:v>Ship</x:v>
      </x:c>
      <x:c r="Q57" s="1" t="n">
        <x:f>IF('Setup'!$B$22&gt;0,"",IF(C57=0,0,MAX(0,ROUNDUP(F57/'Capacity'!X27-'Capacity'!Y27,0)-'Capacity'!G27)))</x:f>
        <x:v>233</x:v>
      </x:c>
      <x:c r="R57" s="1" t="n">
        <x:f>IF('Setup'!$B$22&gt;0,"",IF(C57=0,0,MAX(0,ROUNDUP(F57/'Capacity'!X28-'Capacity'!Y28,0)-'Capacity'!G28)))</x:f>
        <x:v>195</x:v>
      </x:c>
      <x:c r="S57" s="1" t="n">
        <x:f>IF('Setup'!$B$22&gt;0,"",IF(C57=0,0,MAX(0,ROUNDUP(F57/'Capacity'!X29-'Capacity'!Y29,0)-'Capacity'!G29)))</x:f>
        <x:v>118</x:v>
      </x:c>
      <x:c r="T57" s="1" t="str">
        <x:f>IF('Setup'!$B$22&gt;0,"",IF(C57=0,IF(L57&gt;'Setup'!$B$7,"Backlog on closed day","Closed"),IF(OR(V57&gt;0,W57&gt;0),"Resolve staffing limits",IF(U57&gt;0,"Resolve physical limit",IF(L57&gt;'Setup'!$B$7,"Close labor capacity gap",IF(L57&gt;0,"Backlog below threshold","Within daily capacity"))))))</x:f>
        <x:v>Resolve physical limit</x:v>
      </x:c>
      <x:c r="U57" s="1" t="n">
        <x:f>IF('Setup'!$B$22&gt;0,"",IF(C57=0,0,MAX(0,F57-INT(MIN('Capacity'!M27:M29)))))</x:f>
        <x:v>80585</x:v>
      </x:c>
      <x:c r="V57" s="1" t="n">
        <x:f>IF('Setup'!$B$22&gt;0,"",SUM('Capacity'!T27:T29)*C57)</x:f>
        <x:v>0</x:v>
      </x:c>
      <x:c r="W57" s="1" t="n">
        <x:f>IF('Setup'!$B$22&gt;0,"",SUM('Capacity'!W27:W29)*C57)</x:f>
        <x:v>0</x:v>
      </x:c>
    </x:row>
    <x:row r="58" ht="23" customHeight="1">
      <x:c r="A58" s="20" t="n">
        <x:f>IF('Setup'!$B$22&gt;0,"",'Demand'!A58)</x:f>
        <x:v>46352</x:v>
      </x:c>
      <x:c r="B58" s="1" t="n">
        <x:f>IF('Setup'!$B$22&gt;0,"",'Demand'!B58)</x:f>
        <x:v>8</x:v>
      </x:c>
      <x:c r="C58" s="1" t="n">
        <x:f>IF('Setup'!$B$22&gt;0,"",'Demand'!C58)</x:f>
        <x:v>1</x:v>
      </x:c>
      <x:c r="D58" s="24" t="n">
        <x:f>IF('Setup'!$B$22&gt;0,"",ROUND('Demand'!D58*'Setup'!B17,0))</x:f>
        <x:v>14000</x:v>
      </x:c>
      <x:c r="E58" s="24" t="n">
        <x:f>IF('Setup'!$B$22&gt;0,"",L57)</x:f>
        <x:v>80585</x:v>
      </x:c>
      <x:c r="F58" s="24" t="n">
        <x:f>IF('Setup'!$B$22&gt;0,"",D58+E58)</x:f>
        <x:v>94585</x:v>
      </x:c>
      <x:c r="G58" s="24" t="n">
        <x:f>IF('Setup'!$B$22&gt;0,"",'Capacity'!N27*C58)</x:f>
        <x:v>9531</x:v>
      </x:c>
      <x:c r="H58" s="24" t="n">
        <x:f>IF('Setup'!$B$22&gt;0,"",'Capacity'!N28*C58)</x:f>
        <x:v>8986</x:v>
      </x:c>
      <x:c r="I58" s="24" t="n">
        <x:f>IF('Setup'!$B$22&gt;0,"",'Capacity'!N29*C58)</x:f>
        <x:v>8000</x:v>
      </x:c>
      <x:c r="J58" s="24" t="n">
        <x:f>IF('Setup'!$B$22&gt;0,"",MIN(G58:I58))</x:f>
        <x:v>8000</x:v>
      </x:c>
      <x:c r="K58" s="24" t="n">
        <x:f>IF('Setup'!$B$22&gt;0,"",MIN(F58,J58))</x:f>
        <x:v>8000</x:v>
      </x:c>
      <x:c r="L58" s="24" t="n">
        <x:f>IF('Setup'!$B$22&gt;0,"",MAX(0,F58-K58))</x:f>
        <x:v>86585</x:v>
      </x:c>
      <x:c r="M58" s="23" t="n">
        <x:f>IF('Setup'!$B$22&gt;0,"",IF(J58=0,0,K58/J58))</x:f>
        <x:v>1</x:v>
      </x:c>
      <x:c r="N58" s="25" t="n">
        <x:f>IF('Setup'!$B$22&gt;0,"",SUM('Capacity'!Z27:Z29)*C58)</x:f>
        <x:v>13442.12</x:v>
      </x:c>
      <x:c r="O58" s="25" t="n">
        <x:f>IF('Setup'!$B$22&gt;0,"",SUM('Capacity'!Q27:Q29)*C58)</x:f>
        <x:v>4109.639999999999</x:v>
      </x:c>
      <x:c r="P58" s="1" t="str">
        <x:f>IF('Setup'!$B$22&gt;0,"",IF(C58=0,"Closed",INDEX('Processes'!$A$6:$A$8,MATCH(J58,G58:I58,0))))</x:f>
        <x:v>Ship</x:v>
      </x:c>
      <x:c r="Q58" s="1" t="n">
        <x:f>IF('Setup'!$B$22&gt;0,"",IF(C58=0,0,MAX(0,ROUNDUP(F58/'Capacity'!X27-'Capacity'!Y27,0)-'Capacity'!G27)))</x:f>
        <x:v>250</x:v>
      </x:c>
      <x:c r="R58" s="1" t="n">
        <x:f>IF('Setup'!$B$22&gt;0,"",IF(C58=0,0,MAX(0,ROUNDUP(F58/'Capacity'!X28-'Capacity'!Y28,0)-'Capacity'!G28)))</x:f>
        <x:v>210</x:v>
      </x:c>
      <x:c r="S58" s="1" t="n">
        <x:f>IF('Setup'!$B$22&gt;0,"",IF(C58=0,0,MAX(0,ROUNDUP(F58/'Capacity'!X29-'Capacity'!Y29,0)-'Capacity'!G29)))</x:f>
        <x:v>126</x:v>
      </x:c>
      <x:c r="T58" s="1" t="str">
        <x:f>IF('Setup'!$B$22&gt;0,"",IF(C58=0,IF(L58&gt;'Setup'!$B$7,"Backlog on closed day","Closed"),IF(OR(V58&gt;0,W58&gt;0),"Resolve staffing limits",IF(U58&gt;0,"Resolve physical limit",IF(L58&gt;'Setup'!$B$7,"Close labor capacity gap",IF(L58&gt;0,"Backlog below threshold","Within daily capacity"))))))</x:f>
        <x:v>Resolve physical limit</x:v>
      </x:c>
      <x:c r="U58" s="1" t="n">
        <x:f>IF('Setup'!$B$22&gt;0,"",IF(C58=0,0,MAX(0,F58-INT(MIN('Capacity'!M27:M29)))))</x:f>
        <x:v>86585</x:v>
      </x:c>
      <x:c r="V58" s="1" t="n">
        <x:f>IF('Setup'!$B$22&gt;0,"",SUM('Capacity'!T27:T29)*C58)</x:f>
        <x:v>0</x:v>
      </x:c>
      <x:c r="W58" s="1" t="n">
        <x:f>IF('Setup'!$B$22&gt;0,"",SUM('Capacity'!W27:W29)*C58)</x:f>
        <x:v>0</x:v>
      </x:c>
    </x:row>
    <x:row r="59" ht="23" customHeight="1">
      <x:c r="A59" s="20" t="n">
        <x:f>IF('Setup'!$B$22&gt;0,"",'Demand'!A59)</x:f>
        <x:v>46353</x:v>
      </x:c>
      <x:c r="B59" s="1" t="n">
        <x:f>IF('Setup'!$B$22&gt;0,"",'Demand'!B59)</x:f>
        <x:v>8</x:v>
      </x:c>
      <x:c r="C59" s="1" t="n">
        <x:f>IF('Setup'!$B$22&gt;0,"",'Demand'!C59)</x:f>
        <x:v>1</x:v>
      </x:c>
      <x:c r="D59" s="24" t="n">
        <x:f>IF('Setup'!$B$22&gt;0,"",ROUND('Demand'!D59*'Setup'!B17,0))</x:f>
        <x:v>14000</x:v>
      </x:c>
      <x:c r="E59" s="24" t="n">
        <x:f>IF('Setup'!$B$22&gt;0,"",L58)</x:f>
        <x:v>86585</x:v>
      </x:c>
      <x:c r="F59" s="24" t="n">
        <x:f>IF('Setup'!$B$22&gt;0,"",D59+E59)</x:f>
        <x:v>100585</x:v>
      </x:c>
      <x:c r="G59" s="24" t="n">
        <x:f>IF('Setup'!$B$22&gt;0,"",'Capacity'!N27*C59)</x:f>
        <x:v>9531</x:v>
      </x:c>
      <x:c r="H59" s="24" t="n">
        <x:f>IF('Setup'!$B$22&gt;0,"",'Capacity'!N28*C59)</x:f>
        <x:v>8986</x:v>
      </x:c>
      <x:c r="I59" s="24" t="n">
        <x:f>IF('Setup'!$B$22&gt;0,"",'Capacity'!N29*C59)</x:f>
        <x:v>8000</x:v>
      </x:c>
      <x:c r="J59" s="24" t="n">
        <x:f>IF('Setup'!$B$22&gt;0,"",MIN(G59:I59))</x:f>
        <x:v>8000</x:v>
      </x:c>
      <x:c r="K59" s="24" t="n">
        <x:f>IF('Setup'!$B$22&gt;0,"",MIN(F59,J59))</x:f>
        <x:v>8000</x:v>
      </x:c>
      <x:c r="L59" s="24" t="n">
        <x:f>IF('Setup'!$B$22&gt;0,"",MAX(0,F59-K59))</x:f>
        <x:v>92585</x:v>
      </x:c>
      <x:c r="M59" s="23" t="n">
        <x:f>IF('Setup'!$B$22&gt;0,"",IF(J59=0,0,K59/J59))</x:f>
        <x:v>1</x:v>
      </x:c>
      <x:c r="N59" s="25" t="n">
        <x:f>IF('Setup'!$B$22&gt;0,"",SUM('Capacity'!Z27:Z29)*C59)</x:f>
        <x:v>13442.12</x:v>
      </x:c>
      <x:c r="O59" s="25" t="n">
        <x:f>IF('Setup'!$B$22&gt;0,"",SUM('Capacity'!Q27:Q29)*C59)</x:f>
        <x:v>4109.639999999999</x:v>
      </x:c>
      <x:c r="P59" s="1" t="str">
        <x:f>IF('Setup'!$B$22&gt;0,"",IF(C59=0,"Closed",INDEX('Processes'!$A$6:$A$8,MATCH(J59,G59:I59,0))))</x:f>
        <x:v>Ship</x:v>
      </x:c>
      <x:c r="Q59" s="1" t="n">
        <x:f>IF('Setup'!$B$22&gt;0,"",IF(C59=0,0,MAX(0,ROUNDUP(F59/'Capacity'!X27-'Capacity'!Y27,0)-'Capacity'!G27)))</x:f>
        <x:v>268</x:v>
      </x:c>
      <x:c r="R59" s="1" t="n">
        <x:f>IF('Setup'!$B$22&gt;0,"",IF(C59=0,0,MAX(0,ROUNDUP(F59/'Capacity'!X28-'Capacity'!Y28,0)-'Capacity'!G28)))</x:f>
        <x:v>225</x:v>
      </x:c>
      <x:c r="S59" s="1" t="n">
        <x:f>IF('Setup'!$B$22&gt;0,"",IF(C59=0,0,MAX(0,ROUNDUP(F59/'Capacity'!X29-'Capacity'!Y29,0)-'Capacity'!G29)))</x:f>
        <x:v>135</x:v>
      </x:c>
      <x:c r="T59" s="1" t="str">
        <x:f>IF('Setup'!$B$22&gt;0,"",IF(C59=0,IF(L59&gt;'Setup'!$B$7,"Backlog on closed day","Closed"),IF(OR(V59&gt;0,W59&gt;0),"Resolve staffing limits",IF(U59&gt;0,"Resolve physical limit",IF(L59&gt;'Setup'!$B$7,"Close labor capacity gap",IF(L59&gt;0,"Backlog below threshold","Within daily capacity"))))))</x:f>
        <x:v>Resolve physical limit</x:v>
      </x:c>
      <x:c r="U59" s="1" t="n">
        <x:f>IF('Setup'!$B$22&gt;0,"",IF(C59=0,0,MAX(0,F59-INT(MIN('Capacity'!M27:M29)))))</x:f>
        <x:v>92585</x:v>
      </x:c>
      <x:c r="V59" s="1" t="n">
        <x:f>IF('Setup'!$B$22&gt;0,"",SUM('Capacity'!T27:T29)*C59)</x:f>
        <x:v>0</x:v>
      </x:c>
      <x:c r="W59" s="1" t="n">
        <x:f>IF('Setup'!$B$22&gt;0,"",SUM('Capacity'!W27:W29)*C59)</x:f>
        <x:v>0</x:v>
      </x:c>
    </x:row>
    <x:row r="60" ht="23" customHeight="1">
      <x:c r="A60" s="20" t="n">
        <x:f>IF('Setup'!$B$22&gt;0,"",'Demand'!A60)</x:f>
        <x:v>46354</x:v>
      </x:c>
      <x:c r="B60" s="1" t="n">
        <x:f>IF('Setup'!$B$22&gt;0,"",'Demand'!B60)</x:f>
        <x:v>8</x:v>
      </x:c>
      <x:c r="C60" s="1" t="n">
        <x:f>IF('Setup'!$B$22&gt;0,"",'Demand'!C60)</x:f>
        <x:v>0</x:v>
      </x:c>
      <x:c r="D60" s="24" t="n">
        <x:f>IF('Setup'!$B$22&gt;0,"",ROUND('Demand'!D60*'Setup'!B17,0))</x:f>
        <x:v>0</x:v>
      </x:c>
      <x:c r="E60" s="24" t="n">
        <x:f>IF('Setup'!$B$22&gt;0,"",L59)</x:f>
        <x:v>92585</x:v>
      </x:c>
      <x:c r="F60" s="24" t="n">
        <x:f>IF('Setup'!$B$22&gt;0,"",D60+E60)</x:f>
        <x:v>92585</x:v>
      </x:c>
      <x:c r="G60" s="24" t="n">
        <x:f>IF('Setup'!$B$22&gt;0,"",'Capacity'!N27*C60)</x:f>
        <x:v>0</x:v>
      </x:c>
      <x:c r="H60" s="24" t="n">
        <x:f>IF('Setup'!$B$22&gt;0,"",'Capacity'!N28*C60)</x:f>
        <x:v>0</x:v>
      </x:c>
      <x:c r="I60" s="24" t="n">
        <x:f>IF('Setup'!$B$22&gt;0,"",'Capacity'!N29*C60)</x:f>
        <x:v>0</x:v>
      </x:c>
      <x:c r="J60" s="24" t="n">
        <x:f>IF('Setup'!$B$22&gt;0,"",MIN(G60:I60))</x:f>
        <x:v>0</x:v>
      </x:c>
      <x:c r="K60" s="24" t="n">
        <x:f>IF('Setup'!$B$22&gt;0,"",MIN(F60,J60))</x:f>
        <x:v>0</x:v>
      </x:c>
      <x:c r="L60" s="24" t="n">
        <x:f>IF('Setup'!$B$22&gt;0,"",MAX(0,F60-K60))</x:f>
        <x:v>92585</x:v>
      </x:c>
      <x:c r="M60" s="23" t="n">
        <x:f>IF('Setup'!$B$22&gt;0,"",IF(J60=0,0,K60/J60))</x:f>
        <x:v>0</x:v>
      </x:c>
      <x:c r="N60" s="25" t="n">
        <x:f>IF('Setup'!$B$22&gt;0,"",SUM('Capacity'!Z27:Z29)*C60)</x:f>
        <x:v>0</x:v>
      </x:c>
      <x:c r="O60" s="25" t="n">
        <x:f>IF('Setup'!$B$22&gt;0,"",SUM('Capacity'!Q27:Q29)*C60)</x:f>
        <x:v>0</x:v>
      </x:c>
      <x:c r="P60" s="1" t="str">
        <x:f>IF('Setup'!$B$22&gt;0,"",IF(C60=0,"Closed",INDEX('Processes'!$A$6:$A$8,MATCH(J60,G60:I60,0))))</x:f>
        <x:v>Closed</x:v>
      </x:c>
      <x:c r="Q60" s="1" t="n">
        <x:f>IF('Setup'!$B$22&gt;0,"",IF(C60=0,0,MAX(0,ROUNDUP(F60/'Capacity'!X27-'Capacity'!Y27,0)-'Capacity'!G27)))</x:f>
        <x:v>0</x:v>
      </x:c>
      <x:c r="R60" s="1" t="n">
        <x:f>IF('Setup'!$B$22&gt;0,"",IF(C60=0,0,MAX(0,ROUNDUP(F60/'Capacity'!X28-'Capacity'!Y28,0)-'Capacity'!G28)))</x:f>
        <x:v>0</x:v>
      </x:c>
      <x:c r="S60" s="1" t="n">
        <x:f>IF('Setup'!$B$22&gt;0,"",IF(C60=0,0,MAX(0,ROUNDUP(F60/'Capacity'!X29-'Capacity'!Y29,0)-'Capacity'!G29)))</x:f>
        <x:v>0</x:v>
      </x:c>
      <x:c r="T60" s="1" t="str">
        <x:f>IF('Setup'!$B$22&gt;0,"",IF(C60=0,IF(L60&gt;'Setup'!$B$7,"Backlog on closed day","Closed"),IF(OR(V60&gt;0,W60&gt;0),"Resolve staffing limits",IF(U60&gt;0,"Resolve physical limit",IF(L60&gt;'Setup'!$B$7,"Close labor capacity gap",IF(L60&gt;0,"Backlog below threshold","Within daily capacity"))))))</x:f>
        <x:v>Backlog on closed day</x:v>
      </x:c>
      <x:c r="U60" s="1" t="n">
        <x:f>IF('Setup'!$B$22&gt;0,"",IF(C60=0,0,MAX(0,F60-INT(MIN('Capacity'!M27:M29)))))</x:f>
        <x:v>0</x:v>
      </x:c>
      <x:c r="V60" s="1" t="n">
        <x:f>IF('Setup'!$B$22&gt;0,"",SUM('Capacity'!T27:T29)*C60)</x:f>
        <x:v>0</x:v>
      </x:c>
      <x:c r="W60" s="1" t="n">
        <x:f>IF('Setup'!$B$22&gt;0,"",SUM('Capacity'!W27:W29)*C60)</x:f>
        <x:v>0</x:v>
      </x:c>
    </x:row>
    <x:row r="61" ht="23" customHeight="1">
      <x:c r="A61" s="20" t="n">
        <x:f>IF('Setup'!$B$22&gt;0,"",'Demand'!A61)</x:f>
        <x:v>46355</x:v>
      </x:c>
      <x:c r="B61" s="1" t="n">
        <x:f>IF('Setup'!$B$22&gt;0,"",'Demand'!B61)</x:f>
        <x:v>8</x:v>
      </x:c>
      <x:c r="C61" s="1" t="n">
        <x:f>IF('Setup'!$B$22&gt;0,"",'Demand'!C61)</x:f>
        <x:v>0</x:v>
      </x:c>
      <x:c r="D61" s="24" t="n">
        <x:f>IF('Setup'!$B$22&gt;0,"",ROUND('Demand'!D61*'Setup'!B17,0))</x:f>
        <x:v>0</x:v>
      </x:c>
      <x:c r="E61" s="24" t="n">
        <x:f>IF('Setup'!$B$22&gt;0,"",L60)</x:f>
        <x:v>92585</x:v>
      </x:c>
      <x:c r="F61" s="24" t="n">
        <x:f>IF('Setup'!$B$22&gt;0,"",D61+E61)</x:f>
        <x:v>92585</x:v>
      </x:c>
      <x:c r="G61" s="24" t="n">
        <x:f>IF('Setup'!$B$22&gt;0,"",'Capacity'!N27*C61)</x:f>
        <x:v>0</x:v>
      </x:c>
      <x:c r="H61" s="24" t="n">
        <x:f>IF('Setup'!$B$22&gt;0,"",'Capacity'!N28*C61)</x:f>
        <x:v>0</x:v>
      </x:c>
      <x:c r="I61" s="24" t="n">
        <x:f>IF('Setup'!$B$22&gt;0,"",'Capacity'!N29*C61)</x:f>
        <x:v>0</x:v>
      </x:c>
      <x:c r="J61" s="24" t="n">
        <x:f>IF('Setup'!$B$22&gt;0,"",MIN(G61:I61))</x:f>
        <x:v>0</x:v>
      </x:c>
      <x:c r="K61" s="24" t="n">
        <x:f>IF('Setup'!$B$22&gt;0,"",MIN(F61,J61))</x:f>
        <x:v>0</x:v>
      </x:c>
      <x:c r="L61" s="24" t="n">
        <x:f>IF('Setup'!$B$22&gt;0,"",MAX(0,F61-K61))</x:f>
        <x:v>92585</x:v>
      </x:c>
      <x:c r="M61" s="23" t="n">
        <x:f>IF('Setup'!$B$22&gt;0,"",IF(J61=0,0,K61/J61))</x:f>
        <x:v>0</x:v>
      </x:c>
      <x:c r="N61" s="25" t="n">
        <x:f>IF('Setup'!$B$22&gt;0,"",SUM('Capacity'!Z27:Z29)*C61)</x:f>
        <x:v>0</x:v>
      </x:c>
      <x:c r="O61" s="25" t="n">
        <x:f>IF('Setup'!$B$22&gt;0,"",SUM('Capacity'!Q27:Q29)*C61)</x:f>
        <x:v>0</x:v>
      </x:c>
      <x:c r="P61" s="1" t="str">
        <x:f>IF('Setup'!$B$22&gt;0,"",IF(C61=0,"Closed",INDEX('Processes'!$A$6:$A$8,MATCH(J61,G61:I61,0))))</x:f>
        <x:v>Closed</x:v>
      </x:c>
      <x:c r="Q61" s="1" t="n">
        <x:f>IF('Setup'!$B$22&gt;0,"",IF(C61=0,0,MAX(0,ROUNDUP(F61/'Capacity'!X27-'Capacity'!Y27,0)-'Capacity'!G27)))</x:f>
        <x:v>0</x:v>
      </x:c>
      <x:c r="R61" s="1" t="n">
        <x:f>IF('Setup'!$B$22&gt;0,"",IF(C61=0,0,MAX(0,ROUNDUP(F61/'Capacity'!X28-'Capacity'!Y28,0)-'Capacity'!G28)))</x:f>
        <x:v>0</x:v>
      </x:c>
      <x:c r="S61" s="1" t="n">
        <x:f>IF('Setup'!$B$22&gt;0,"",IF(C61=0,0,MAX(0,ROUNDUP(F61/'Capacity'!X29-'Capacity'!Y29,0)-'Capacity'!G29)))</x:f>
        <x:v>0</x:v>
      </x:c>
      <x:c r="T61" s="1" t="str">
        <x:f>IF('Setup'!$B$22&gt;0,"",IF(C61=0,IF(L61&gt;'Setup'!$B$7,"Backlog on closed day","Closed"),IF(OR(V61&gt;0,W61&gt;0),"Resolve staffing limits",IF(U61&gt;0,"Resolve physical limit",IF(L61&gt;'Setup'!$B$7,"Close labor capacity gap",IF(L61&gt;0,"Backlog below threshold","Within daily capacity"))))))</x:f>
        <x:v>Backlog on closed day</x:v>
      </x:c>
      <x:c r="U61" s="1" t="n">
        <x:f>IF('Setup'!$B$22&gt;0,"",IF(C61=0,0,MAX(0,F61-INT(MIN('Capacity'!M27:M29)))))</x:f>
        <x:v>0</x:v>
      </x:c>
      <x:c r="V61" s="1" t="n">
        <x:f>IF('Setup'!$B$22&gt;0,"",SUM('Capacity'!T27:T29)*C61)</x:f>
        <x:v>0</x:v>
      </x:c>
      <x:c r="W61" s="1" t="n">
        <x:f>IF('Setup'!$B$22&gt;0,"",SUM('Capacity'!W27:W29)*C61)</x:f>
        <x:v>0</x:v>
      </x:c>
    </x:row>
    <x:row r="62" ht="23" customHeight="1">
      <x:c r="A62" s="20" t="n">
        <x:f>IF('Setup'!$B$22&gt;0,"",'Demand'!A62)</x:f>
        <x:v>46356</x:v>
      </x:c>
      <x:c r="B62" s="1" t="n">
        <x:f>IF('Setup'!$B$22&gt;0,"",'Demand'!B62)</x:f>
        <x:v>9</x:v>
      </x:c>
      <x:c r="C62" s="1" t="n">
        <x:f>IF('Setup'!$B$22&gt;0,"",'Demand'!C62)</x:f>
        <x:v>1</x:v>
      </x:c>
      <x:c r="D62" s="24" t="n">
        <x:f>IF('Setup'!$B$22&gt;0,"",ROUND('Demand'!D62*'Setup'!B17,0))</x:f>
        <x:v>11500</x:v>
      </x:c>
      <x:c r="E62" s="24" t="n">
        <x:f>IF('Setup'!$B$22&gt;0,"",L61)</x:f>
        <x:v>92585</x:v>
      </x:c>
      <x:c r="F62" s="24" t="n">
        <x:f>IF('Setup'!$B$22&gt;0,"",D62+E62)</x:f>
        <x:v>104085</x:v>
      </x:c>
      <x:c r="G62" s="24" t="n">
        <x:f>IF('Setup'!$B$22&gt;0,"",'Capacity'!N30*C62)</x:f>
        <x:v>9531</x:v>
      </x:c>
      <x:c r="H62" s="24" t="n">
        <x:f>IF('Setup'!$B$22&gt;0,"",'Capacity'!N31*C62)</x:f>
        <x:v>8986</x:v>
      </x:c>
      <x:c r="I62" s="24" t="n">
        <x:f>IF('Setup'!$B$22&gt;0,"",'Capacity'!N32*C62)</x:f>
        <x:v>8000</x:v>
      </x:c>
      <x:c r="J62" s="24" t="n">
        <x:f>IF('Setup'!$B$22&gt;0,"",MIN(G62:I62))</x:f>
        <x:v>8000</x:v>
      </x:c>
      <x:c r="K62" s="24" t="n">
        <x:f>IF('Setup'!$B$22&gt;0,"",MIN(F62,J62))</x:f>
        <x:v>8000</x:v>
      </x:c>
      <x:c r="L62" s="24" t="n">
        <x:f>IF('Setup'!$B$22&gt;0,"",MAX(0,F62-K62))</x:f>
        <x:v>96085</x:v>
      </x:c>
      <x:c r="M62" s="23" t="n">
        <x:f>IF('Setup'!$B$22&gt;0,"",IF(J62=0,0,K62/J62))</x:f>
        <x:v>1</x:v>
      </x:c>
      <x:c r="N62" s="25" t="n">
        <x:f>IF('Setup'!$B$22&gt;0,"",SUM('Capacity'!Z30:Z32)*C62)</x:f>
        <x:v>13442.12</x:v>
      </x:c>
      <x:c r="O62" s="25" t="n">
        <x:f>IF('Setup'!$B$22&gt;0,"",SUM('Capacity'!Q30:Q32)*C62)</x:f>
        <x:v>4109.639999999999</x:v>
      </x:c>
      <x:c r="P62" s="1" t="str">
        <x:f>IF('Setup'!$B$22&gt;0,"",IF(C62=0,"Closed",INDEX('Processes'!$A$6:$A$8,MATCH(J62,G62:I62,0))))</x:f>
        <x:v>Ship</x:v>
      </x:c>
      <x:c r="Q62" s="1" t="n">
        <x:f>IF('Setup'!$B$22&gt;0,"",IF(C62=0,0,MAX(0,ROUNDUP(F62/'Capacity'!X30-'Capacity'!Y30,0)-'Capacity'!G30)))</x:f>
        <x:v>278</x:v>
      </x:c>
      <x:c r="R62" s="1" t="n">
        <x:f>IF('Setup'!$B$22&gt;0,"",IF(C62=0,0,MAX(0,ROUNDUP(F62/'Capacity'!X31-'Capacity'!Y31,0)-'Capacity'!G31)))</x:f>
        <x:v>233</x:v>
      </x:c>
      <x:c r="S62" s="1" t="n">
        <x:f>IF('Setup'!$B$22&gt;0,"",IF(C62=0,0,MAX(0,ROUNDUP(F62/'Capacity'!X32-'Capacity'!Y32,0)-'Capacity'!G32)))</x:f>
        <x:v>140</x:v>
      </x:c>
      <x:c r="T62" s="1" t="str">
        <x:f>IF('Setup'!$B$22&gt;0,"",IF(C62=0,IF(L62&gt;'Setup'!$B$7,"Backlog on closed day","Closed"),IF(OR(V62&gt;0,W62&gt;0),"Resolve staffing limits",IF(U62&gt;0,"Resolve physical limit",IF(L62&gt;'Setup'!$B$7,"Close labor capacity gap",IF(L62&gt;0,"Backlog below threshold","Within daily capacity"))))))</x:f>
        <x:v>Resolve physical limit</x:v>
      </x:c>
      <x:c r="U62" s="1" t="n">
        <x:f>IF('Setup'!$B$22&gt;0,"",IF(C62=0,0,MAX(0,F62-INT(MIN('Capacity'!M30:M32)))))</x:f>
        <x:v>96085</x:v>
      </x:c>
      <x:c r="V62" s="1" t="n">
        <x:f>IF('Setup'!$B$22&gt;0,"",SUM('Capacity'!T30:T32)*C62)</x:f>
        <x:v>0</x:v>
      </x:c>
      <x:c r="W62" s="1" t="n">
        <x:f>IF('Setup'!$B$22&gt;0,"",SUM('Capacity'!W30:W32)*C62)</x:f>
        <x:v>0</x:v>
      </x:c>
    </x:row>
    <x:row r="63" ht="23" customHeight="1">
      <x:c r="A63" s="20" t="n">
        <x:f>IF('Setup'!$B$22&gt;0,"",'Demand'!A63)</x:f>
        <x:v>46357</x:v>
      </x:c>
      <x:c r="B63" s="1" t="n">
        <x:f>IF('Setup'!$B$22&gt;0,"",'Demand'!B63)</x:f>
        <x:v>9</x:v>
      </x:c>
      <x:c r="C63" s="1" t="n">
        <x:f>IF('Setup'!$B$22&gt;0,"",'Demand'!C63)</x:f>
        <x:v>1</x:v>
      </x:c>
      <x:c r="D63" s="24" t="n">
        <x:f>IF('Setup'!$B$22&gt;0,"",ROUND('Demand'!D63*'Setup'!B17,0))</x:f>
        <x:v>11500</x:v>
      </x:c>
      <x:c r="E63" s="24" t="n">
        <x:f>IF('Setup'!$B$22&gt;0,"",L62)</x:f>
        <x:v>96085</x:v>
      </x:c>
      <x:c r="F63" s="24" t="n">
        <x:f>IF('Setup'!$B$22&gt;0,"",D63+E63)</x:f>
        <x:v>107585</x:v>
      </x:c>
      <x:c r="G63" s="24" t="n">
        <x:f>IF('Setup'!$B$22&gt;0,"",'Capacity'!N30*C63)</x:f>
        <x:v>9531</x:v>
      </x:c>
      <x:c r="H63" s="24" t="n">
        <x:f>IF('Setup'!$B$22&gt;0,"",'Capacity'!N31*C63)</x:f>
        <x:v>8986</x:v>
      </x:c>
      <x:c r="I63" s="24" t="n">
        <x:f>IF('Setup'!$B$22&gt;0,"",'Capacity'!N32*C63)</x:f>
        <x:v>8000</x:v>
      </x:c>
      <x:c r="J63" s="24" t="n">
        <x:f>IF('Setup'!$B$22&gt;0,"",MIN(G63:I63))</x:f>
        <x:v>8000</x:v>
      </x:c>
      <x:c r="K63" s="24" t="n">
        <x:f>IF('Setup'!$B$22&gt;0,"",MIN(F63,J63))</x:f>
        <x:v>8000</x:v>
      </x:c>
      <x:c r="L63" s="24" t="n">
        <x:f>IF('Setup'!$B$22&gt;0,"",MAX(0,F63-K63))</x:f>
        <x:v>99585</x:v>
      </x:c>
      <x:c r="M63" s="23" t="n">
        <x:f>IF('Setup'!$B$22&gt;0,"",IF(J63=0,0,K63/J63))</x:f>
        <x:v>1</x:v>
      </x:c>
      <x:c r="N63" s="25" t="n">
        <x:f>IF('Setup'!$B$22&gt;0,"",SUM('Capacity'!Z30:Z32)*C63)</x:f>
        <x:v>13442.12</x:v>
      </x:c>
      <x:c r="O63" s="25" t="n">
        <x:f>IF('Setup'!$B$22&gt;0,"",SUM('Capacity'!Q30:Q32)*C63)</x:f>
        <x:v>4109.639999999999</x:v>
      </x:c>
      <x:c r="P63" s="1" t="str">
        <x:f>IF('Setup'!$B$22&gt;0,"",IF(C63=0,"Closed",INDEX('Processes'!$A$6:$A$8,MATCH(J63,G63:I63,0))))</x:f>
        <x:v>Ship</x:v>
      </x:c>
      <x:c r="Q63" s="1" t="n">
        <x:f>IF('Setup'!$B$22&gt;0,"",IF(C63=0,0,MAX(0,ROUNDUP(F63/'Capacity'!X30-'Capacity'!Y30,0)-'Capacity'!G30)))</x:f>
        <x:v>289</x:v>
      </x:c>
      <x:c r="R63" s="1" t="n">
        <x:f>IF('Setup'!$B$22&gt;0,"",IF(C63=0,0,MAX(0,ROUNDUP(F63/'Capacity'!X31-'Capacity'!Y31,0)-'Capacity'!G31)))</x:f>
        <x:v>242</x:v>
      </x:c>
      <x:c r="S63" s="1" t="n">
        <x:f>IF('Setup'!$B$22&gt;0,"",IF(C63=0,0,MAX(0,ROUNDUP(F63/'Capacity'!X32-'Capacity'!Y32,0)-'Capacity'!G32)))</x:f>
        <x:v>146</x:v>
      </x:c>
      <x:c r="T63" s="1" t="str">
        <x:f>IF('Setup'!$B$22&gt;0,"",IF(C63=0,IF(L63&gt;'Setup'!$B$7,"Backlog on closed day","Closed"),IF(OR(V63&gt;0,W63&gt;0),"Resolve staffing limits",IF(U63&gt;0,"Resolve physical limit",IF(L63&gt;'Setup'!$B$7,"Close labor capacity gap",IF(L63&gt;0,"Backlog below threshold","Within daily capacity"))))))</x:f>
        <x:v>Resolve physical limit</x:v>
      </x:c>
      <x:c r="U63" s="1" t="n">
        <x:f>IF('Setup'!$B$22&gt;0,"",IF(C63=0,0,MAX(0,F63-INT(MIN('Capacity'!M30:M32)))))</x:f>
        <x:v>99585</x:v>
      </x:c>
      <x:c r="V63" s="1" t="n">
        <x:f>IF('Setup'!$B$22&gt;0,"",SUM('Capacity'!T30:T32)*C63)</x:f>
        <x:v>0</x:v>
      </x:c>
      <x:c r="W63" s="1" t="n">
        <x:f>IF('Setup'!$B$22&gt;0,"",SUM('Capacity'!W30:W32)*C63)</x:f>
        <x:v>0</x:v>
      </x:c>
    </x:row>
    <x:row r="64" ht="23" customHeight="1">
      <x:c r="A64" s="20" t="n">
        <x:f>IF('Setup'!$B$22&gt;0,"",'Demand'!A64)</x:f>
        <x:v>46358</x:v>
      </x:c>
      <x:c r="B64" s="1" t="n">
        <x:f>IF('Setup'!$B$22&gt;0,"",'Demand'!B64)</x:f>
        <x:v>9</x:v>
      </x:c>
      <x:c r="C64" s="1" t="n">
        <x:f>IF('Setup'!$B$22&gt;0,"",'Demand'!C64)</x:f>
        <x:v>1</x:v>
      </x:c>
      <x:c r="D64" s="24" t="n">
        <x:f>IF('Setup'!$B$22&gt;0,"",ROUND('Demand'!D64*'Setup'!B17,0))</x:f>
        <x:v>11500</x:v>
      </x:c>
      <x:c r="E64" s="24" t="n">
        <x:f>IF('Setup'!$B$22&gt;0,"",L63)</x:f>
        <x:v>99585</x:v>
      </x:c>
      <x:c r="F64" s="24" t="n">
        <x:f>IF('Setup'!$B$22&gt;0,"",D64+E64)</x:f>
        <x:v>111085</x:v>
      </x:c>
      <x:c r="G64" s="24" t="n">
        <x:f>IF('Setup'!$B$22&gt;0,"",'Capacity'!N30*C64)</x:f>
        <x:v>9531</x:v>
      </x:c>
      <x:c r="H64" s="24" t="n">
        <x:f>IF('Setup'!$B$22&gt;0,"",'Capacity'!N31*C64)</x:f>
        <x:v>8986</x:v>
      </x:c>
      <x:c r="I64" s="24" t="n">
        <x:f>IF('Setup'!$B$22&gt;0,"",'Capacity'!N32*C64)</x:f>
        <x:v>8000</x:v>
      </x:c>
      <x:c r="J64" s="24" t="n">
        <x:f>IF('Setup'!$B$22&gt;0,"",MIN(G64:I64))</x:f>
        <x:v>8000</x:v>
      </x:c>
      <x:c r="K64" s="24" t="n">
        <x:f>IF('Setup'!$B$22&gt;0,"",MIN(F64,J64))</x:f>
        <x:v>8000</x:v>
      </x:c>
      <x:c r="L64" s="24" t="n">
        <x:f>IF('Setup'!$B$22&gt;0,"",MAX(0,F64-K64))</x:f>
        <x:v>103085</x:v>
      </x:c>
      <x:c r="M64" s="23" t="n">
        <x:f>IF('Setup'!$B$22&gt;0,"",IF(J64=0,0,K64/J64))</x:f>
        <x:v>1</x:v>
      </x:c>
      <x:c r="N64" s="25" t="n">
        <x:f>IF('Setup'!$B$22&gt;0,"",SUM('Capacity'!Z30:Z32)*C64)</x:f>
        <x:v>13442.12</x:v>
      </x:c>
      <x:c r="O64" s="25" t="n">
        <x:f>IF('Setup'!$B$22&gt;0,"",SUM('Capacity'!Q30:Q32)*C64)</x:f>
        <x:v>4109.639999999999</x:v>
      </x:c>
      <x:c r="P64" s="1" t="str">
        <x:f>IF('Setup'!$B$22&gt;0,"",IF(C64=0,"Closed",INDEX('Processes'!$A$6:$A$8,MATCH(J64,G64:I64,0))))</x:f>
        <x:v>Ship</x:v>
      </x:c>
      <x:c r="Q64" s="1" t="n">
        <x:f>IF('Setup'!$B$22&gt;0,"",IF(C64=0,0,MAX(0,ROUNDUP(F64/'Capacity'!X30-'Capacity'!Y30,0)-'Capacity'!G30)))</x:f>
        <x:v>299</x:v>
      </x:c>
      <x:c r="R64" s="1" t="n">
        <x:f>IF('Setup'!$B$22&gt;0,"",IF(C64=0,0,MAX(0,ROUNDUP(F64/'Capacity'!X31-'Capacity'!Y31,0)-'Capacity'!G31)))</x:f>
        <x:v>250</x:v>
      </x:c>
      <x:c r="S64" s="1" t="n">
        <x:f>IF('Setup'!$B$22&gt;0,"",IF(C64=0,0,MAX(0,ROUNDUP(F64/'Capacity'!X32-'Capacity'!Y32,0)-'Capacity'!G32)))</x:f>
        <x:v>151</x:v>
      </x:c>
      <x:c r="T64" s="1" t="str">
        <x:f>IF('Setup'!$B$22&gt;0,"",IF(C64=0,IF(L64&gt;'Setup'!$B$7,"Backlog on closed day","Closed"),IF(OR(V64&gt;0,W64&gt;0),"Resolve staffing limits",IF(U64&gt;0,"Resolve physical limit",IF(L64&gt;'Setup'!$B$7,"Close labor capacity gap",IF(L64&gt;0,"Backlog below threshold","Within daily capacity"))))))</x:f>
        <x:v>Resolve physical limit</x:v>
      </x:c>
      <x:c r="U64" s="1" t="n">
        <x:f>IF('Setup'!$B$22&gt;0,"",IF(C64=0,0,MAX(0,F64-INT(MIN('Capacity'!M30:M32)))))</x:f>
        <x:v>103085</x:v>
      </x:c>
      <x:c r="V64" s="1" t="n">
        <x:f>IF('Setup'!$B$22&gt;0,"",SUM('Capacity'!T30:T32)*C64)</x:f>
        <x:v>0</x:v>
      </x:c>
      <x:c r="W64" s="1" t="n">
        <x:f>IF('Setup'!$B$22&gt;0,"",SUM('Capacity'!W30:W32)*C64)</x:f>
        <x:v>0</x:v>
      </x:c>
    </x:row>
    <x:row r="65" ht="23" customHeight="1">
      <x:c r="A65" s="20" t="n">
        <x:f>IF('Setup'!$B$22&gt;0,"",'Demand'!A65)</x:f>
        <x:v>46359</x:v>
      </x:c>
      <x:c r="B65" s="1" t="n">
        <x:f>IF('Setup'!$B$22&gt;0,"",'Demand'!B65)</x:f>
        <x:v>9</x:v>
      </x:c>
      <x:c r="C65" s="1" t="n">
        <x:f>IF('Setup'!$B$22&gt;0,"",'Demand'!C65)</x:f>
        <x:v>1</x:v>
      </x:c>
      <x:c r="D65" s="24" t="n">
        <x:f>IF('Setup'!$B$22&gt;0,"",ROUND('Demand'!D65*'Setup'!B17,0))</x:f>
        <x:v>11500</x:v>
      </x:c>
      <x:c r="E65" s="24" t="n">
        <x:f>IF('Setup'!$B$22&gt;0,"",L64)</x:f>
        <x:v>103085</x:v>
      </x:c>
      <x:c r="F65" s="24" t="n">
        <x:f>IF('Setup'!$B$22&gt;0,"",D65+E65)</x:f>
        <x:v>114585</x:v>
      </x:c>
      <x:c r="G65" s="24" t="n">
        <x:f>IF('Setup'!$B$22&gt;0,"",'Capacity'!N30*C65)</x:f>
        <x:v>9531</x:v>
      </x:c>
      <x:c r="H65" s="24" t="n">
        <x:f>IF('Setup'!$B$22&gt;0,"",'Capacity'!N31*C65)</x:f>
        <x:v>8986</x:v>
      </x:c>
      <x:c r="I65" s="24" t="n">
        <x:f>IF('Setup'!$B$22&gt;0,"",'Capacity'!N32*C65)</x:f>
        <x:v>8000</x:v>
      </x:c>
      <x:c r="J65" s="24" t="n">
        <x:f>IF('Setup'!$B$22&gt;0,"",MIN(G65:I65))</x:f>
        <x:v>8000</x:v>
      </x:c>
      <x:c r="K65" s="24" t="n">
        <x:f>IF('Setup'!$B$22&gt;0,"",MIN(F65,J65))</x:f>
        <x:v>8000</x:v>
      </x:c>
      <x:c r="L65" s="24" t="n">
        <x:f>IF('Setup'!$B$22&gt;0,"",MAX(0,F65-K65))</x:f>
        <x:v>106585</x:v>
      </x:c>
      <x:c r="M65" s="23" t="n">
        <x:f>IF('Setup'!$B$22&gt;0,"",IF(J65=0,0,K65/J65))</x:f>
        <x:v>1</x:v>
      </x:c>
      <x:c r="N65" s="25" t="n">
        <x:f>IF('Setup'!$B$22&gt;0,"",SUM('Capacity'!Z30:Z32)*C65)</x:f>
        <x:v>13442.12</x:v>
      </x:c>
      <x:c r="O65" s="25" t="n">
        <x:f>IF('Setup'!$B$22&gt;0,"",SUM('Capacity'!Q30:Q32)*C65)</x:f>
        <x:v>4109.639999999999</x:v>
      </x:c>
      <x:c r="P65" s="1" t="str">
        <x:f>IF('Setup'!$B$22&gt;0,"",IF(C65=0,"Closed",INDEX('Processes'!$A$6:$A$8,MATCH(J65,G65:I65,0))))</x:f>
        <x:v>Ship</x:v>
      </x:c>
      <x:c r="Q65" s="1" t="n">
        <x:f>IF('Setup'!$B$22&gt;0,"",IF(C65=0,0,MAX(0,ROUNDUP(F65/'Capacity'!X30-'Capacity'!Y30,0)-'Capacity'!G30)))</x:f>
        <x:v>309</x:v>
      </x:c>
      <x:c r="R65" s="1" t="n">
        <x:f>IF('Setup'!$B$22&gt;0,"",IF(C65=0,0,MAX(0,ROUNDUP(F65/'Capacity'!X31-'Capacity'!Y31,0)-'Capacity'!G31)))</x:f>
        <x:v>259</x:v>
      </x:c>
      <x:c r="S65" s="1" t="n">
        <x:f>IF('Setup'!$B$22&gt;0,"",IF(C65=0,0,MAX(0,ROUNDUP(F65/'Capacity'!X32-'Capacity'!Y32,0)-'Capacity'!G32)))</x:f>
        <x:v>156</x:v>
      </x:c>
      <x:c r="T65" s="1" t="str">
        <x:f>IF('Setup'!$B$22&gt;0,"",IF(C65=0,IF(L65&gt;'Setup'!$B$7,"Backlog on closed day","Closed"),IF(OR(V65&gt;0,W65&gt;0),"Resolve staffing limits",IF(U65&gt;0,"Resolve physical limit",IF(L65&gt;'Setup'!$B$7,"Close labor capacity gap",IF(L65&gt;0,"Backlog below threshold","Within daily capacity"))))))</x:f>
        <x:v>Resolve physical limit</x:v>
      </x:c>
      <x:c r="U65" s="1" t="n">
        <x:f>IF('Setup'!$B$22&gt;0,"",IF(C65=0,0,MAX(0,F65-INT(MIN('Capacity'!M30:M32)))))</x:f>
        <x:v>106585</x:v>
      </x:c>
      <x:c r="V65" s="1" t="n">
        <x:f>IF('Setup'!$B$22&gt;0,"",SUM('Capacity'!T30:T32)*C65)</x:f>
        <x:v>0</x:v>
      </x:c>
      <x:c r="W65" s="1" t="n">
        <x:f>IF('Setup'!$B$22&gt;0,"",SUM('Capacity'!W30:W32)*C65)</x:f>
        <x:v>0</x:v>
      </x:c>
    </x:row>
    <x:row r="66" ht="23" customHeight="1">
      <x:c r="A66" s="20" t="n">
        <x:f>IF('Setup'!$B$22&gt;0,"",'Demand'!A66)</x:f>
        <x:v>46360</x:v>
      </x:c>
      <x:c r="B66" s="1" t="n">
        <x:f>IF('Setup'!$B$22&gt;0,"",'Demand'!B66)</x:f>
        <x:v>9</x:v>
      </x:c>
      <x:c r="C66" s="1" t="n">
        <x:f>IF('Setup'!$B$22&gt;0,"",'Demand'!C66)</x:f>
        <x:v>1</x:v>
      </x:c>
      <x:c r="D66" s="24" t="n">
        <x:f>IF('Setup'!$B$22&gt;0,"",ROUND('Demand'!D66*'Setup'!B17,0))</x:f>
        <x:v>11500</x:v>
      </x:c>
      <x:c r="E66" s="24" t="n">
        <x:f>IF('Setup'!$B$22&gt;0,"",L65)</x:f>
        <x:v>106585</x:v>
      </x:c>
      <x:c r="F66" s="24" t="n">
        <x:f>IF('Setup'!$B$22&gt;0,"",D66+E66)</x:f>
        <x:v>118085</x:v>
      </x:c>
      <x:c r="G66" s="24" t="n">
        <x:f>IF('Setup'!$B$22&gt;0,"",'Capacity'!N30*C66)</x:f>
        <x:v>9531</x:v>
      </x:c>
      <x:c r="H66" s="24" t="n">
        <x:f>IF('Setup'!$B$22&gt;0,"",'Capacity'!N31*C66)</x:f>
        <x:v>8986</x:v>
      </x:c>
      <x:c r="I66" s="24" t="n">
        <x:f>IF('Setup'!$B$22&gt;0,"",'Capacity'!N32*C66)</x:f>
        <x:v>8000</x:v>
      </x:c>
      <x:c r="J66" s="24" t="n">
        <x:f>IF('Setup'!$B$22&gt;0,"",MIN(G66:I66))</x:f>
        <x:v>8000</x:v>
      </x:c>
      <x:c r="K66" s="24" t="n">
        <x:f>IF('Setup'!$B$22&gt;0,"",MIN(F66,J66))</x:f>
        <x:v>8000</x:v>
      </x:c>
      <x:c r="L66" s="24" t="n">
        <x:f>IF('Setup'!$B$22&gt;0,"",MAX(0,F66-K66))</x:f>
        <x:v>110085</x:v>
      </x:c>
      <x:c r="M66" s="23" t="n">
        <x:f>IF('Setup'!$B$22&gt;0,"",IF(J66=0,0,K66/J66))</x:f>
        <x:v>1</x:v>
      </x:c>
      <x:c r="N66" s="25" t="n">
        <x:f>IF('Setup'!$B$22&gt;0,"",SUM('Capacity'!Z30:Z32)*C66)</x:f>
        <x:v>13442.12</x:v>
      </x:c>
      <x:c r="O66" s="25" t="n">
        <x:f>IF('Setup'!$B$22&gt;0,"",SUM('Capacity'!Q30:Q32)*C66)</x:f>
        <x:v>4109.639999999999</x:v>
      </x:c>
      <x:c r="P66" s="1" t="str">
        <x:f>IF('Setup'!$B$22&gt;0,"",IF(C66=0,"Closed",INDEX('Processes'!$A$6:$A$8,MATCH(J66,G66:I66,0))))</x:f>
        <x:v>Ship</x:v>
      </x:c>
      <x:c r="Q66" s="1" t="n">
        <x:f>IF('Setup'!$B$22&gt;0,"",IF(C66=0,0,MAX(0,ROUNDUP(F66/'Capacity'!X30-'Capacity'!Y30,0)-'Capacity'!G30)))</x:f>
        <x:v>319</x:v>
      </x:c>
      <x:c r="R66" s="1" t="n">
        <x:f>IF('Setup'!$B$22&gt;0,"",IF(C66=0,0,MAX(0,ROUNDUP(F66/'Capacity'!X31-'Capacity'!Y31,0)-'Capacity'!G31)))</x:f>
        <x:v>268</x:v>
      </x:c>
      <x:c r="S66" s="1" t="n">
        <x:f>IF('Setup'!$B$22&gt;0,"",IF(C66=0,0,MAX(0,ROUNDUP(F66/'Capacity'!X32-'Capacity'!Y32,0)-'Capacity'!G32)))</x:f>
        <x:v>161</x:v>
      </x:c>
      <x:c r="T66" s="1" t="str">
        <x:f>IF('Setup'!$B$22&gt;0,"",IF(C66=0,IF(L66&gt;'Setup'!$B$7,"Backlog on closed day","Closed"),IF(OR(V66&gt;0,W66&gt;0),"Resolve staffing limits",IF(U66&gt;0,"Resolve physical limit",IF(L66&gt;'Setup'!$B$7,"Close labor capacity gap",IF(L66&gt;0,"Backlog below threshold","Within daily capacity"))))))</x:f>
        <x:v>Resolve physical limit</x:v>
      </x:c>
      <x:c r="U66" s="1" t="n">
        <x:f>IF('Setup'!$B$22&gt;0,"",IF(C66=0,0,MAX(0,F66-INT(MIN('Capacity'!M30:M32)))))</x:f>
        <x:v>110085</x:v>
      </x:c>
      <x:c r="V66" s="1" t="n">
        <x:f>IF('Setup'!$B$22&gt;0,"",SUM('Capacity'!T30:T32)*C66)</x:f>
        <x:v>0</x:v>
      </x:c>
      <x:c r="W66" s="1" t="n">
        <x:f>IF('Setup'!$B$22&gt;0,"",SUM('Capacity'!W30:W32)*C66)</x:f>
        <x:v>0</x:v>
      </x:c>
    </x:row>
    <x:row r="67" ht="23" customHeight="1">
      <x:c r="A67" s="20" t="n">
        <x:f>IF('Setup'!$B$22&gt;0,"",'Demand'!A67)</x:f>
        <x:v>46361</x:v>
      </x:c>
      <x:c r="B67" s="1" t="n">
        <x:f>IF('Setup'!$B$22&gt;0,"",'Demand'!B67)</x:f>
        <x:v>9</x:v>
      </x:c>
      <x:c r="C67" s="1" t="n">
        <x:f>IF('Setup'!$B$22&gt;0,"",'Demand'!C67)</x:f>
        <x:v>0</x:v>
      </x:c>
      <x:c r="D67" s="24" t="n">
        <x:f>IF('Setup'!$B$22&gt;0,"",ROUND('Demand'!D67*'Setup'!B17,0))</x:f>
        <x:v>0</x:v>
      </x:c>
      <x:c r="E67" s="24" t="n">
        <x:f>IF('Setup'!$B$22&gt;0,"",L66)</x:f>
        <x:v>110085</x:v>
      </x:c>
      <x:c r="F67" s="24" t="n">
        <x:f>IF('Setup'!$B$22&gt;0,"",D67+E67)</x:f>
        <x:v>110085</x:v>
      </x:c>
      <x:c r="G67" s="24" t="n">
        <x:f>IF('Setup'!$B$22&gt;0,"",'Capacity'!N30*C67)</x:f>
        <x:v>0</x:v>
      </x:c>
      <x:c r="H67" s="24" t="n">
        <x:f>IF('Setup'!$B$22&gt;0,"",'Capacity'!N31*C67)</x:f>
        <x:v>0</x:v>
      </x:c>
      <x:c r="I67" s="24" t="n">
        <x:f>IF('Setup'!$B$22&gt;0,"",'Capacity'!N32*C67)</x:f>
        <x:v>0</x:v>
      </x:c>
      <x:c r="J67" s="24" t="n">
        <x:f>IF('Setup'!$B$22&gt;0,"",MIN(G67:I67))</x:f>
        <x:v>0</x:v>
      </x:c>
      <x:c r="K67" s="24" t="n">
        <x:f>IF('Setup'!$B$22&gt;0,"",MIN(F67,J67))</x:f>
        <x:v>0</x:v>
      </x:c>
      <x:c r="L67" s="24" t="n">
        <x:f>IF('Setup'!$B$22&gt;0,"",MAX(0,F67-K67))</x:f>
        <x:v>110085</x:v>
      </x:c>
      <x:c r="M67" s="23" t="n">
        <x:f>IF('Setup'!$B$22&gt;0,"",IF(J67=0,0,K67/J67))</x:f>
        <x:v>0</x:v>
      </x:c>
      <x:c r="N67" s="25" t="n">
        <x:f>IF('Setup'!$B$22&gt;0,"",SUM('Capacity'!Z30:Z32)*C67)</x:f>
        <x:v>0</x:v>
      </x:c>
      <x:c r="O67" s="25" t="n">
        <x:f>IF('Setup'!$B$22&gt;0,"",SUM('Capacity'!Q30:Q32)*C67)</x:f>
        <x:v>0</x:v>
      </x:c>
      <x:c r="P67" s="1" t="str">
        <x:f>IF('Setup'!$B$22&gt;0,"",IF(C67=0,"Closed",INDEX('Processes'!$A$6:$A$8,MATCH(J67,G67:I67,0))))</x:f>
        <x:v>Closed</x:v>
      </x:c>
      <x:c r="Q67" s="1" t="n">
        <x:f>IF('Setup'!$B$22&gt;0,"",IF(C67=0,0,MAX(0,ROUNDUP(F67/'Capacity'!X30-'Capacity'!Y30,0)-'Capacity'!G30)))</x:f>
        <x:v>0</x:v>
      </x:c>
      <x:c r="R67" s="1" t="n">
        <x:f>IF('Setup'!$B$22&gt;0,"",IF(C67=0,0,MAX(0,ROUNDUP(F67/'Capacity'!X31-'Capacity'!Y31,0)-'Capacity'!G31)))</x:f>
        <x:v>0</x:v>
      </x:c>
      <x:c r="S67" s="1" t="n">
        <x:f>IF('Setup'!$B$22&gt;0,"",IF(C67=0,0,MAX(0,ROUNDUP(F67/'Capacity'!X32-'Capacity'!Y32,0)-'Capacity'!G32)))</x:f>
        <x:v>0</x:v>
      </x:c>
      <x:c r="T67" s="1" t="str">
        <x:f>IF('Setup'!$B$22&gt;0,"",IF(C67=0,IF(L67&gt;'Setup'!$B$7,"Backlog on closed day","Closed"),IF(OR(V67&gt;0,W67&gt;0),"Resolve staffing limits",IF(U67&gt;0,"Resolve physical limit",IF(L67&gt;'Setup'!$B$7,"Close labor capacity gap",IF(L67&gt;0,"Backlog below threshold","Within daily capacity"))))))</x:f>
        <x:v>Backlog on closed day</x:v>
      </x:c>
      <x:c r="U67" s="1" t="n">
        <x:f>IF('Setup'!$B$22&gt;0,"",IF(C67=0,0,MAX(0,F67-INT(MIN('Capacity'!M30:M32)))))</x:f>
        <x:v>0</x:v>
      </x:c>
      <x:c r="V67" s="1" t="n">
        <x:f>IF('Setup'!$B$22&gt;0,"",SUM('Capacity'!T30:T32)*C67)</x:f>
        <x:v>0</x:v>
      </x:c>
      <x:c r="W67" s="1" t="n">
        <x:f>IF('Setup'!$B$22&gt;0,"",SUM('Capacity'!W30:W32)*C67)</x:f>
        <x:v>0</x:v>
      </x:c>
    </x:row>
    <x:row r="68" ht="23" customHeight="1">
      <x:c r="A68" s="20" t="n">
        <x:f>IF('Setup'!$B$22&gt;0,"",'Demand'!A68)</x:f>
        <x:v>46362</x:v>
      </x:c>
      <x:c r="B68" s="1" t="n">
        <x:f>IF('Setup'!$B$22&gt;0,"",'Demand'!B68)</x:f>
        <x:v>9</x:v>
      </x:c>
      <x:c r="C68" s="1" t="n">
        <x:f>IF('Setup'!$B$22&gt;0,"",'Demand'!C68)</x:f>
        <x:v>0</x:v>
      </x:c>
      <x:c r="D68" s="24" t="n">
        <x:f>IF('Setup'!$B$22&gt;0,"",ROUND('Demand'!D68*'Setup'!B17,0))</x:f>
        <x:v>0</x:v>
      </x:c>
      <x:c r="E68" s="24" t="n">
        <x:f>IF('Setup'!$B$22&gt;0,"",L67)</x:f>
        <x:v>110085</x:v>
      </x:c>
      <x:c r="F68" s="24" t="n">
        <x:f>IF('Setup'!$B$22&gt;0,"",D68+E68)</x:f>
        <x:v>110085</x:v>
      </x:c>
      <x:c r="G68" s="24" t="n">
        <x:f>IF('Setup'!$B$22&gt;0,"",'Capacity'!N30*C68)</x:f>
        <x:v>0</x:v>
      </x:c>
      <x:c r="H68" s="24" t="n">
        <x:f>IF('Setup'!$B$22&gt;0,"",'Capacity'!N31*C68)</x:f>
        <x:v>0</x:v>
      </x:c>
      <x:c r="I68" s="24" t="n">
        <x:f>IF('Setup'!$B$22&gt;0,"",'Capacity'!N32*C68)</x:f>
        <x:v>0</x:v>
      </x:c>
      <x:c r="J68" s="24" t="n">
        <x:f>IF('Setup'!$B$22&gt;0,"",MIN(G68:I68))</x:f>
        <x:v>0</x:v>
      </x:c>
      <x:c r="K68" s="24" t="n">
        <x:f>IF('Setup'!$B$22&gt;0,"",MIN(F68,J68))</x:f>
        <x:v>0</x:v>
      </x:c>
      <x:c r="L68" s="24" t="n">
        <x:f>IF('Setup'!$B$22&gt;0,"",MAX(0,F68-K68))</x:f>
        <x:v>110085</x:v>
      </x:c>
      <x:c r="M68" s="23" t="n">
        <x:f>IF('Setup'!$B$22&gt;0,"",IF(J68=0,0,K68/J68))</x:f>
        <x:v>0</x:v>
      </x:c>
      <x:c r="N68" s="25" t="n">
        <x:f>IF('Setup'!$B$22&gt;0,"",SUM('Capacity'!Z30:Z32)*C68)</x:f>
        <x:v>0</x:v>
      </x:c>
      <x:c r="O68" s="25" t="n">
        <x:f>IF('Setup'!$B$22&gt;0,"",SUM('Capacity'!Q30:Q32)*C68)</x:f>
        <x:v>0</x:v>
      </x:c>
      <x:c r="P68" s="1" t="str">
        <x:f>IF('Setup'!$B$22&gt;0,"",IF(C68=0,"Closed",INDEX('Processes'!$A$6:$A$8,MATCH(J68,G68:I68,0))))</x:f>
        <x:v>Closed</x:v>
      </x:c>
      <x:c r="Q68" s="1" t="n">
        <x:f>IF('Setup'!$B$22&gt;0,"",IF(C68=0,0,MAX(0,ROUNDUP(F68/'Capacity'!X30-'Capacity'!Y30,0)-'Capacity'!G30)))</x:f>
        <x:v>0</x:v>
      </x:c>
      <x:c r="R68" s="1" t="n">
        <x:f>IF('Setup'!$B$22&gt;0,"",IF(C68=0,0,MAX(0,ROUNDUP(F68/'Capacity'!X31-'Capacity'!Y31,0)-'Capacity'!G31)))</x:f>
        <x:v>0</x:v>
      </x:c>
      <x:c r="S68" s="1" t="n">
        <x:f>IF('Setup'!$B$22&gt;0,"",IF(C68=0,0,MAX(0,ROUNDUP(F68/'Capacity'!X32-'Capacity'!Y32,0)-'Capacity'!G32)))</x:f>
        <x:v>0</x:v>
      </x:c>
      <x:c r="T68" s="1" t="str">
        <x:f>IF('Setup'!$B$22&gt;0,"",IF(C68=0,IF(L68&gt;'Setup'!$B$7,"Backlog on closed day","Closed"),IF(OR(V68&gt;0,W68&gt;0),"Resolve staffing limits",IF(U68&gt;0,"Resolve physical limit",IF(L68&gt;'Setup'!$B$7,"Close labor capacity gap",IF(L68&gt;0,"Backlog below threshold","Within daily capacity"))))))</x:f>
        <x:v>Backlog on closed day</x:v>
      </x:c>
      <x:c r="U68" s="1" t="n">
        <x:f>IF('Setup'!$B$22&gt;0,"",IF(C68=0,0,MAX(0,F68-INT(MIN('Capacity'!M30:M32)))))</x:f>
        <x:v>0</x:v>
      </x:c>
      <x:c r="V68" s="1" t="n">
        <x:f>IF('Setup'!$B$22&gt;0,"",SUM('Capacity'!T30:T32)*C68)</x:f>
        <x:v>0</x:v>
      </x:c>
      <x:c r="W68" s="1" t="n">
        <x:f>IF('Setup'!$B$22&gt;0,"",SUM('Capacity'!W30:W32)*C68)</x:f>
        <x:v>0</x:v>
      </x:c>
    </x:row>
    <x:row r="69" ht="23" customHeight="1">
      <x:c r="A69" s="20" t="n">
        <x:f>IF('Setup'!$B$22&gt;0,"",'Demand'!A69)</x:f>
        <x:v>46363</x:v>
      </x:c>
      <x:c r="B69" s="1" t="n">
        <x:f>IF('Setup'!$B$22&gt;0,"",'Demand'!B69)</x:f>
        <x:v>10</x:v>
      </x:c>
      <x:c r="C69" s="1" t="n">
        <x:f>IF('Setup'!$B$22&gt;0,"",'Demand'!C69)</x:f>
        <x:v>1</x:v>
      </x:c>
      <x:c r="D69" s="24" t="n">
        <x:f>IF('Setup'!$B$22&gt;0,"",ROUND('Demand'!D69*'Setup'!B17,0))</x:f>
        <x:v>10000</x:v>
      </x:c>
      <x:c r="E69" s="24" t="n">
        <x:f>IF('Setup'!$B$22&gt;0,"",L68)</x:f>
        <x:v>110085</x:v>
      </x:c>
      <x:c r="F69" s="24" t="n">
        <x:f>IF('Setup'!$B$22&gt;0,"",D69+E69)</x:f>
        <x:v>120085</x:v>
      </x:c>
      <x:c r="G69" s="24" t="n">
        <x:f>IF('Setup'!$B$22&gt;0,"",'Capacity'!N33*C69)</x:f>
        <x:v>8372</x:v>
      </x:c>
      <x:c r="H69" s="24" t="n">
        <x:f>IF('Setup'!$B$22&gt;0,"",'Capacity'!N34*C69)</x:f>
        <x:v>7893</x:v>
      </x:c>
      <x:c r="I69" s="24" t="n">
        <x:f>IF('Setup'!$B$22&gt;0,"",'Capacity'!N35*C69)</x:f>
        <x:v>7774</x:v>
      </x:c>
      <x:c r="J69" s="24" t="n">
        <x:f>IF('Setup'!$B$22&gt;0,"",MIN(G69:I69))</x:f>
        <x:v>7774</x:v>
      </x:c>
      <x:c r="K69" s="24" t="n">
        <x:f>IF('Setup'!$B$22&gt;0,"",MIN(F69,J69))</x:f>
        <x:v>7774</x:v>
      </x:c>
      <x:c r="L69" s="24" t="n">
        <x:f>IF('Setup'!$B$22&gt;0,"",MAX(0,F69-K69))</x:f>
        <x:v>112311</x:v>
      </x:c>
      <x:c r="M69" s="23" t="n">
        <x:f>IF('Setup'!$B$22&gt;0,"",IF(J69=0,0,K69/J69))</x:f>
        <x:v>1</x:v>
      </x:c>
      <x:c r="N69" s="25" t="n">
        <x:f>IF('Setup'!$B$22&gt;0,"",SUM('Capacity'!Z33:Z35)*C69)</x:f>
        <x:v>11319.68</x:v>
      </x:c>
      <x:c r="O69" s="25" t="n">
        <x:f>IF('Setup'!$B$22&gt;0,"",SUM('Capacity'!Q33:Q35)*C69)</x:f>
        <x:v>1987.1999999999996</x:v>
      </x:c>
      <x:c r="P69" s="1" t="str">
        <x:f>IF('Setup'!$B$22&gt;0,"",IF(C69=0,"Closed",INDEX('Processes'!$A$6:$A$8,MATCH(J69,G69:I69,0))))</x:f>
        <x:v>Ship</x:v>
      </x:c>
      <x:c r="Q69" s="1" t="n">
        <x:f>IF('Setup'!$B$22&gt;0,"",IF(C69=0,0,MAX(0,ROUNDUP(F69/'Capacity'!X33-'Capacity'!Y33,0)-'Capacity'!G33)))</x:f>
        <x:v>374</x:v>
      </x:c>
      <x:c r="R69" s="1" t="n">
        <x:f>IF('Setup'!$B$22&gt;0,"",IF(C69=0,0,MAX(0,ROUNDUP(F69/'Capacity'!X34-'Capacity'!Y34,0)-'Capacity'!G34)))</x:f>
        <x:v>313</x:v>
      </x:c>
      <x:c r="S69" s="1" t="n">
        <x:f>IF('Setup'!$B$22&gt;0,"",IF(C69=0,0,MAX(0,ROUNDUP(F69/'Capacity'!X35-'Capacity'!Y35,0)-'Capacity'!G35)))</x:f>
        <x:v>188</x:v>
      </x:c>
      <x:c r="T69" s="1" t="str">
        <x:f>IF('Setup'!$B$22&gt;0,"",IF(C69=0,IF(L69&gt;'Setup'!$B$7,"Backlog on closed day","Closed"),IF(OR(V69&gt;0,W69&gt;0),"Resolve staffing limits",IF(U69&gt;0,"Resolve physical limit",IF(L69&gt;'Setup'!$B$7,"Close labor capacity gap",IF(L69&gt;0,"Backlog below threshold","Within daily capacity"))))))</x:f>
        <x:v>Resolve physical limit</x:v>
      </x:c>
      <x:c r="U69" s="1" t="n">
        <x:f>IF('Setup'!$B$22&gt;0,"",IF(C69=0,0,MAX(0,F69-INT(MIN('Capacity'!M33:M35)))))</x:f>
        <x:v>112085</x:v>
      </x:c>
      <x:c r="V69" s="1" t="n">
        <x:f>IF('Setup'!$B$22&gt;0,"",SUM('Capacity'!T33:T35)*C69)</x:f>
        <x:v>0</x:v>
      </x:c>
      <x:c r="W69" s="1" t="n">
        <x:f>IF('Setup'!$B$22&gt;0,"",SUM('Capacity'!W33:W35)*C69)</x:f>
        <x:v>0</x:v>
      </x:c>
    </x:row>
    <x:row r="70" ht="23" customHeight="1">
      <x:c r="A70" s="20" t="n">
        <x:f>IF('Setup'!$B$22&gt;0,"",'Demand'!A70)</x:f>
        <x:v>46364</x:v>
      </x:c>
      <x:c r="B70" s="1" t="n">
        <x:f>IF('Setup'!$B$22&gt;0,"",'Demand'!B70)</x:f>
        <x:v>10</x:v>
      </x:c>
      <x:c r="C70" s="1" t="n">
        <x:f>IF('Setup'!$B$22&gt;0,"",'Demand'!C70)</x:f>
        <x:v>1</x:v>
      </x:c>
      <x:c r="D70" s="24" t="n">
        <x:f>IF('Setup'!$B$22&gt;0,"",ROUND('Demand'!D70*'Setup'!B17,0))</x:f>
        <x:v>10000</x:v>
      </x:c>
      <x:c r="E70" s="24" t="n">
        <x:f>IF('Setup'!$B$22&gt;0,"",L69)</x:f>
        <x:v>112311</x:v>
      </x:c>
      <x:c r="F70" s="24" t="n">
        <x:f>IF('Setup'!$B$22&gt;0,"",D70+E70)</x:f>
        <x:v>122311</x:v>
      </x:c>
      <x:c r="G70" s="24" t="n">
        <x:f>IF('Setup'!$B$22&gt;0,"",'Capacity'!N33*C70)</x:f>
        <x:v>8372</x:v>
      </x:c>
      <x:c r="H70" s="24" t="n">
        <x:f>IF('Setup'!$B$22&gt;0,"",'Capacity'!N34*C70)</x:f>
        <x:v>7893</x:v>
      </x:c>
      <x:c r="I70" s="24" t="n">
        <x:f>IF('Setup'!$B$22&gt;0,"",'Capacity'!N35*C70)</x:f>
        <x:v>7774</x:v>
      </x:c>
      <x:c r="J70" s="24" t="n">
        <x:f>IF('Setup'!$B$22&gt;0,"",MIN(G70:I70))</x:f>
        <x:v>7774</x:v>
      </x:c>
      <x:c r="K70" s="24" t="n">
        <x:f>IF('Setup'!$B$22&gt;0,"",MIN(F70,J70))</x:f>
        <x:v>7774</x:v>
      </x:c>
      <x:c r="L70" s="24" t="n">
        <x:f>IF('Setup'!$B$22&gt;0,"",MAX(0,F70-K70))</x:f>
        <x:v>114537</x:v>
      </x:c>
      <x:c r="M70" s="23" t="n">
        <x:f>IF('Setup'!$B$22&gt;0,"",IF(J70=0,0,K70/J70))</x:f>
        <x:v>1</x:v>
      </x:c>
      <x:c r="N70" s="25" t="n">
        <x:f>IF('Setup'!$B$22&gt;0,"",SUM('Capacity'!Z33:Z35)*C70)</x:f>
        <x:v>11319.68</x:v>
      </x:c>
      <x:c r="O70" s="25" t="n">
        <x:f>IF('Setup'!$B$22&gt;0,"",SUM('Capacity'!Q33:Q35)*C70)</x:f>
        <x:v>1987.1999999999996</x:v>
      </x:c>
      <x:c r="P70" s="1" t="str">
        <x:f>IF('Setup'!$B$22&gt;0,"",IF(C70=0,"Closed",INDEX('Processes'!$A$6:$A$8,MATCH(J70,G70:I70,0))))</x:f>
        <x:v>Ship</x:v>
      </x:c>
      <x:c r="Q70" s="1" t="n">
        <x:f>IF('Setup'!$B$22&gt;0,"",IF(C70=0,0,MAX(0,ROUNDUP(F70/'Capacity'!X33-'Capacity'!Y33,0)-'Capacity'!G33)))</x:f>
        <x:v>382</x:v>
      </x:c>
      <x:c r="R70" s="1" t="n">
        <x:f>IF('Setup'!$B$22&gt;0,"",IF(C70=0,0,MAX(0,ROUNDUP(F70/'Capacity'!X34-'Capacity'!Y34,0)-'Capacity'!G34)))</x:f>
        <x:v>319</x:v>
      </x:c>
      <x:c r="S70" s="1" t="n">
        <x:f>IF('Setup'!$B$22&gt;0,"",IF(C70=0,0,MAX(0,ROUNDUP(F70/'Capacity'!X35-'Capacity'!Y35,0)-'Capacity'!G35)))</x:f>
        <x:v>192</x:v>
      </x:c>
      <x:c r="T70" s="1" t="str">
        <x:f>IF('Setup'!$B$22&gt;0,"",IF(C70=0,IF(L70&gt;'Setup'!$B$7,"Backlog on closed day","Closed"),IF(OR(V70&gt;0,W70&gt;0),"Resolve staffing limits",IF(U70&gt;0,"Resolve physical limit",IF(L70&gt;'Setup'!$B$7,"Close labor capacity gap",IF(L70&gt;0,"Backlog below threshold","Within daily capacity"))))))</x:f>
        <x:v>Resolve physical limit</x:v>
      </x:c>
      <x:c r="U70" s="1" t="n">
        <x:f>IF('Setup'!$B$22&gt;0,"",IF(C70=0,0,MAX(0,F70-INT(MIN('Capacity'!M33:M35)))))</x:f>
        <x:v>114311</x:v>
      </x:c>
      <x:c r="V70" s="1" t="n">
        <x:f>IF('Setup'!$B$22&gt;0,"",SUM('Capacity'!T33:T35)*C70)</x:f>
        <x:v>0</x:v>
      </x:c>
      <x:c r="W70" s="1" t="n">
        <x:f>IF('Setup'!$B$22&gt;0,"",SUM('Capacity'!W33:W35)*C70)</x:f>
        <x:v>0</x:v>
      </x:c>
    </x:row>
    <x:row r="71" ht="23" customHeight="1">
      <x:c r="A71" s="20" t="n">
        <x:f>IF('Setup'!$B$22&gt;0,"",'Demand'!A71)</x:f>
        <x:v>46365</x:v>
      </x:c>
      <x:c r="B71" s="1" t="n">
        <x:f>IF('Setup'!$B$22&gt;0,"",'Demand'!B71)</x:f>
        <x:v>10</x:v>
      </x:c>
      <x:c r="C71" s="1" t="n">
        <x:f>IF('Setup'!$B$22&gt;0,"",'Demand'!C71)</x:f>
        <x:v>1</x:v>
      </x:c>
      <x:c r="D71" s="24" t="n">
        <x:f>IF('Setup'!$B$22&gt;0,"",ROUND('Demand'!D71*'Setup'!B17,0))</x:f>
        <x:v>10000</x:v>
      </x:c>
      <x:c r="E71" s="24" t="n">
        <x:f>IF('Setup'!$B$22&gt;0,"",L70)</x:f>
        <x:v>114537</x:v>
      </x:c>
      <x:c r="F71" s="24" t="n">
        <x:f>IF('Setup'!$B$22&gt;0,"",D71+E71)</x:f>
        <x:v>124537</x:v>
      </x:c>
      <x:c r="G71" s="24" t="n">
        <x:f>IF('Setup'!$B$22&gt;0,"",'Capacity'!N33*C71)</x:f>
        <x:v>8372</x:v>
      </x:c>
      <x:c r="H71" s="24" t="n">
        <x:f>IF('Setup'!$B$22&gt;0,"",'Capacity'!N34*C71)</x:f>
        <x:v>7893</x:v>
      </x:c>
      <x:c r="I71" s="24" t="n">
        <x:f>IF('Setup'!$B$22&gt;0,"",'Capacity'!N35*C71)</x:f>
        <x:v>7774</x:v>
      </x:c>
      <x:c r="J71" s="24" t="n">
        <x:f>IF('Setup'!$B$22&gt;0,"",MIN(G71:I71))</x:f>
        <x:v>7774</x:v>
      </x:c>
      <x:c r="K71" s="24" t="n">
        <x:f>IF('Setup'!$B$22&gt;0,"",MIN(F71,J71))</x:f>
        <x:v>7774</x:v>
      </x:c>
      <x:c r="L71" s="24" t="n">
        <x:f>IF('Setup'!$B$22&gt;0,"",MAX(0,F71-K71))</x:f>
        <x:v>116763</x:v>
      </x:c>
      <x:c r="M71" s="23" t="n">
        <x:f>IF('Setup'!$B$22&gt;0,"",IF(J71=0,0,K71/J71))</x:f>
        <x:v>1</x:v>
      </x:c>
      <x:c r="N71" s="25" t="n">
        <x:f>IF('Setup'!$B$22&gt;0,"",SUM('Capacity'!Z33:Z35)*C71)</x:f>
        <x:v>11319.68</x:v>
      </x:c>
      <x:c r="O71" s="25" t="n">
        <x:f>IF('Setup'!$B$22&gt;0,"",SUM('Capacity'!Q33:Q35)*C71)</x:f>
        <x:v>1987.1999999999996</x:v>
      </x:c>
      <x:c r="P71" s="1" t="str">
        <x:f>IF('Setup'!$B$22&gt;0,"",IF(C71=0,"Closed",INDEX('Processes'!$A$6:$A$8,MATCH(J71,G71:I71,0))))</x:f>
        <x:v>Ship</x:v>
      </x:c>
      <x:c r="Q71" s="1" t="n">
        <x:f>IF('Setup'!$B$22&gt;0,"",IF(C71=0,0,MAX(0,ROUNDUP(F71/'Capacity'!X33-'Capacity'!Y33,0)-'Capacity'!G33)))</x:f>
        <x:v>389</x:v>
      </x:c>
      <x:c r="R71" s="1" t="n">
        <x:f>IF('Setup'!$B$22&gt;0,"",IF(C71=0,0,MAX(0,ROUNDUP(F71/'Capacity'!X34-'Capacity'!Y34,0)-'Capacity'!G34)))</x:f>
        <x:v>326</x:v>
      </x:c>
      <x:c r="S71" s="1" t="n">
        <x:f>IF('Setup'!$B$22&gt;0,"",IF(C71=0,0,MAX(0,ROUNDUP(F71/'Capacity'!X35-'Capacity'!Y35,0)-'Capacity'!G35)))</x:f>
        <x:v>196</x:v>
      </x:c>
      <x:c r="T71" s="1" t="str">
        <x:f>IF('Setup'!$B$22&gt;0,"",IF(C71=0,IF(L71&gt;'Setup'!$B$7,"Backlog on closed day","Closed"),IF(OR(V71&gt;0,W71&gt;0),"Resolve staffing limits",IF(U71&gt;0,"Resolve physical limit",IF(L71&gt;'Setup'!$B$7,"Close labor capacity gap",IF(L71&gt;0,"Backlog below threshold","Within daily capacity"))))))</x:f>
        <x:v>Resolve physical limit</x:v>
      </x:c>
      <x:c r="U71" s="1" t="n">
        <x:f>IF('Setup'!$B$22&gt;0,"",IF(C71=0,0,MAX(0,F71-INT(MIN('Capacity'!M33:M35)))))</x:f>
        <x:v>116537</x:v>
      </x:c>
      <x:c r="V71" s="1" t="n">
        <x:f>IF('Setup'!$B$22&gt;0,"",SUM('Capacity'!T33:T35)*C71)</x:f>
        <x:v>0</x:v>
      </x:c>
      <x:c r="W71" s="1" t="n">
        <x:f>IF('Setup'!$B$22&gt;0,"",SUM('Capacity'!W33:W35)*C71)</x:f>
        <x:v>0</x:v>
      </x:c>
    </x:row>
    <x:row r="72" ht="23" customHeight="1">
      <x:c r="A72" s="20" t="n">
        <x:f>IF('Setup'!$B$22&gt;0,"",'Demand'!A72)</x:f>
        <x:v>46366</x:v>
      </x:c>
      <x:c r="B72" s="1" t="n">
        <x:f>IF('Setup'!$B$22&gt;0,"",'Demand'!B72)</x:f>
        <x:v>10</x:v>
      </x:c>
      <x:c r="C72" s="1" t="n">
        <x:f>IF('Setup'!$B$22&gt;0,"",'Demand'!C72)</x:f>
        <x:v>1</x:v>
      </x:c>
      <x:c r="D72" s="24" t="n">
        <x:f>IF('Setup'!$B$22&gt;0,"",ROUND('Demand'!D72*'Setup'!B17,0))</x:f>
        <x:v>10000</x:v>
      </x:c>
      <x:c r="E72" s="24" t="n">
        <x:f>IF('Setup'!$B$22&gt;0,"",L71)</x:f>
        <x:v>116763</x:v>
      </x:c>
      <x:c r="F72" s="24" t="n">
        <x:f>IF('Setup'!$B$22&gt;0,"",D72+E72)</x:f>
        <x:v>126763</x:v>
      </x:c>
      <x:c r="G72" s="24" t="n">
        <x:f>IF('Setup'!$B$22&gt;0,"",'Capacity'!N33*C72)</x:f>
        <x:v>8372</x:v>
      </x:c>
      <x:c r="H72" s="24" t="n">
        <x:f>IF('Setup'!$B$22&gt;0,"",'Capacity'!N34*C72)</x:f>
        <x:v>7893</x:v>
      </x:c>
      <x:c r="I72" s="24" t="n">
        <x:f>IF('Setup'!$B$22&gt;0,"",'Capacity'!N35*C72)</x:f>
        <x:v>7774</x:v>
      </x:c>
      <x:c r="J72" s="24" t="n">
        <x:f>IF('Setup'!$B$22&gt;0,"",MIN(G72:I72))</x:f>
        <x:v>7774</x:v>
      </x:c>
      <x:c r="K72" s="24" t="n">
        <x:f>IF('Setup'!$B$22&gt;0,"",MIN(F72,J72))</x:f>
        <x:v>7774</x:v>
      </x:c>
      <x:c r="L72" s="24" t="n">
        <x:f>IF('Setup'!$B$22&gt;0,"",MAX(0,F72-K72))</x:f>
        <x:v>118989</x:v>
      </x:c>
      <x:c r="M72" s="23" t="n">
        <x:f>IF('Setup'!$B$22&gt;0,"",IF(J72=0,0,K72/J72))</x:f>
        <x:v>1</x:v>
      </x:c>
      <x:c r="N72" s="25" t="n">
        <x:f>IF('Setup'!$B$22&gt;0,"",SUM('Capacity'!Z33:Z35)*C72)</x:f>
        <x:v>11319.68</x:v>
      </x:c>
      <x:c r="O72" s="25" t="n">
        <x:f>IF('Setup'!$B$22&gt;0,"",SUM('Capacity'!Q33:Q35)*C72)</x:f>
        <x:v>1987.1999999999996</x:v>
      </x:c>
      <x:c r="P72" s="1" t="str">
        <x:f>IF('Setup'!$B$22&gt;0,"",IF(C72=0,"Closed",INDEX('Processes'!$A$6:$A$8,MATCH(J72,G72:I72,0))))</x:f>
        <x:v>Ship</x:v>
      </x:c>
      <x:c r="Q72" s="1" t="n">
        <x:f>IF('Setup'!$B$22&gt;0,"",IF(C72=0,0,MAX(0,ROUNDUP(F72/'Capacity'!X33-'Capacity'!Y33,0)-'Capacity'!G33)))</x:f>
        <x:v>396</x:v>
      </x:c>
      <x:c r="R72" s="1" t="n">
        <x:f>IF('Setup'!$B$22&gt;0,"",IF(C72=0,0,MAX(0,ROUNDUP(F72/'Capacity'!X34-'Capacity'!Y34,0)-'Capacity'!G34)))</x:f>
        <x:v>332</x:v>
      </x:c>
      <x:c r="S72" s="1" t="n">
        <x:f>IF('Setup'!$B$22&gt;0,"",IF(C72=0,0,MAX(0,ROUNDUP(F72/'Capacity'!X35-'Capacity'!Y35,0)-'Capacity'!G35)))</x:f>
        <x:v>199</x:v>
      </x:c>
      <x:c r="T72" s="1" t="str">
        <x:f>IF('Setup'!$B$22&gt;0,"",IF(C72=0,IF(L72&gt;'Setup'!$B$7,"Backlog on closed day","Closed"),IF(OR(V72&gt;0,W72&gt;0),"Resolve staffing limits",IF(U72&gt;0,"Resolve physical limit",IF(L72&gt;'Setup'!$B$7,"Close labor capacity gap",IF(L72&gt;0,"Backlog below threshold","Within daily capacity"))))))</x:f>
        <x:v>Resolve physical limit</x:v>
      </x:c>
      <x:c r="U72" s="1" t="n">
        <x:f>IF('Setup'!$B$22&gt;0,"",IF(C72=0,0,MAX(0,F72-INT(MIN('Capacity'!M33:M35)))))</x:f>
        <x:v>118763</x:v>
      </x:c>
      <x:c r="V72" s="1" t="n">
        <x:f>IF('Setup'!$B$22&gt;0,"",SUM('Capacity'!T33:T35)*C72)</x:f>
        <x:v>0</x:v>
      </x:c>
      <x:c r="W72" s="1" t="n">
        <x:f>IF('Setup'!$B$22&gt;0,"",SUM('Capacity'!W33:W35)*C72)</x:f>
        <x:v>0</x:v>
      </x:c>
    </x:row>
    <x:row r="73" ht="23" customHeight="1">
      <x:c r="A73" s="20" t="n">
        <x:f>IF('Setup'!$B$22&gt;0,"",'Demand'!A73)</x:f>
        <x:v>46367</x:v>
      </x:c>
      <x:c r="B73" s="1" t="n">
        <x:f>IF('Setup'!$B$22&gt;0,"",'Demand'!B73)</x:f>
        <x:v>10</x:v>
      </x:c>
      <x:c r="C73" s="1" t="n">
        <x:f>IF('Setup'!$B$22&gt;0,"",'Demand'!C73)</x:f>
        <x:v>1</x:v>
      </x:c>
      <x:c r="D73" s="24" t="n">
        <x:f>IF('Setup'!$B$22&gt;0,"",ROUND('Demand'!D73*'Setup'!B17,0))</x:f>
        <x:v>10000</x:v>
      </x:c>
      <x:c r="E73" s="24" t="n">
        <x:f>IF('Setup'!$B$22&gt;0,"",L72)</x:f>
        <x:v>118989</x:v>
      </x:c>
      <x:c r="F73" s="24" t="n">
        <x:f>IF('Setup'!$B$22&gt;0,"",D73+E73)</x:f>
        <x:v>128989</x:v>
      </x:c>
      <x:c r="G73" s="24" t="n">
        <x:f>IF('Setup'!$B$22&gt;0,"",'Capacity'!N33*C73)</x:f>
        <x:v>8372</x:v>
      </x:c>
      <x:c r="H73" s="24" t="n">
        <x:f>IF('Setup'!$B$22&gt;0,"",'Capacity'!N34*C73)</x:f>
        <x:v>7893</x:v>
      </x:c>
      <x:c r="I73" s="24" t="n">
        <x:f>IF('Setup'!$B$22&gt;0,"",'Capacity'!N35*C73)</x:f>
        <x:v>7774</x:v>
      </x:c>
      <x:c r="J73" s="24" t="n">
        <x:f>IF('Setup'!$B$22&gt;0,"",MIN(G73:I73))</x:f>
        <x:v>7774</x:v>
      </x:c>
      <x:c r="K73" s="24" t="n">
        <x:f>IF('Setup'!$B$22&gt;0,"",MIN(F73,J73))</x:f>
        <x:v>7774</x:v>
      </x:c>
      <x:c r="L73" s="24" t="n">
        <x:f>IF('Setup'!$B$22&gt;0,"",MAX(0,F73-K73))</x:f>
        <x:v>121215</x:v>
      </x:c>
      <x:c r="M73" s="23" t="n">
        <x:f>IF('Setup'!$B$22&gt;0,"",IF(J73=0,0,K73/J73))</x:f>
        <x:v>1</x:v>
      </x:c>
      <x:c r="N73" s="25" t="n">
        <x:f>IF('Setup'!$B$22&gt;0,"",SUM('Capacity'!Z33:Z35)*C73)</x:f>
        <x:v>11319.68</x:v>
      </x:c>
      <x:c r="O73" s="25" t="n">
        <x:f>IF('Setup'!$B$22&gt;0,"",SUM('Capacity'!Q33:Q35)*C73)</x:f>
        <x:v>1987.1999999999996</x:v>
      </x:c>
      <x:c r="P73" s="1" t="str">
        <x:f>IF('Setup'!$B$22&gt;0,"",IF(C73=0,"Closed",INDEX('Processes'!$A$6:$A$8,MATCH(J73,G73:I73,0))))</x:f>
        <x:v>Ship</x:v>
      </x:c>
      <x:c r="Q73" s="1" t="n">
        <x:f>IF('Setup'!$B$22&gt;0,"",IF(C73=0,0,MAX(0,ROUNDUP(F73/'Capacity'!X33-'Capacity'!Y33,0)-'Capacity'!G33)))</x:f>
        <x:v>404</x:v>
      </x:c>
      <x:c r="R73" s="1" t="n">
        <x:f>IF('Setup'!$B$22&gt;0,"",IF(C73=0,0,MAX(0,ROUNDUP(F73/'Capacity'!X34-'Capacity'!Y34,0)-'Capacity'!G34)))</x:f>
        <x:v>338</x:v>
      </x:c>
      <x:c r="S73" s="1" t="n">
        <x:f>IF('Setup'!$B$22&gt;0,"",IF(C73=0,0,MAX(0,ROUNDUP(F73/'Capacity'!X35-'Capacity'!Y35,0)-'Capacity'!G35)))</x:f>
        <x:v>203</x:v>
      </x:c>
      <x:c r="T73" s="1" t="str">
        <x:f>IF('Setup'!$B$22&gt;0,"",IF(C73=0,IF(L73&gt;'Setup'!$B$7,"Backlog on closed day","Closed"),IF(OR(V73&gt;0,W73&gt;0),"Resolve staffing limits",IF(U73&gt;0,"Resolve physical limit",IF(L73&gt;'Setup'!$B$7,"Close labor capacity gap",IF(L73&gt;0,"Backlog below threshold","Within daily capacity"))))))</x:f>
        <x:v>Resolve physical limit</x:v>
      </x:c>
      <x:c r="U73" s="1" t="n">
        <x:f>IF('Setup'!$B$22&gt;0,"",IF(C73=0,0,MAX(0,F73-INT(MIN('Capacity'!M33:M35)))))</x:f>
        <x:v>120989</x:v>
      </x:c>
      <x:c r="V73" s="1" t="n">
        <x:f>IF('Setup'!$B$22&gt;0,"",SUM('Capacity'!T33:T35)*C73)</x:f>
        <x:v>0</x:v>
      </x:c>
      <x:c r="W73" s="1" t="n">
        <x:f>IF('Setup'!$B$22&gt;0,"",SUM('Capacity'!W33:W35)*C73)</x:f>
        <x:v>0</x:v>
      </x:c>
    </x:row>
    <x:row r="74" ht="23" customHeight="1">
      <x:c r="A74" s="20" t="n">
        <x:f>IF('Setup'!$B$22&gt;0,"",'Demand'!A74)</x:f>
        <x:v>46368</x:v>
      </x:c>
      <x:c r="B74" s="1" t="n">
        <x:f>IF('Setup'!$B$22&gt;0,"",'Demand'!B74)</x:f>
        <x:v>10</x:v>
      </x:c>
      <x:c r="C74" s="1" t="n">
        <x:f>IF('Setup'!$B$22&gt;0,"",'Demand'!C74)</x:f>
        <x:v>0</x:v>
      </x:c>
      <x:c r="D74" s="24" t="n">
        <x:f>IF('Setup'!$B$22&gt;0,"",ROUND('Demand'!D74*'Setup'!B17,0))</x:f>
        <x:v>0</x:v>
      </x:c>
      <x:c r="E74" s="24" t="n">
        <x:f>IF('Setup'!$B$22&gt;0,"",L73)</x:f>
        <x:v>121215</x:v>
      </x:c>
      <x:c r="F74" s="24" t="n">
        <x:f>IF('Setup'!$B$22&gt;0,"",D74+E74)</x:f>
        <x:v>121215</x:v>
      </x:c>
      <x:c r="G74" s="24" t="n">
        <x:f>IF('Setup'!$B$22&gt;0,"",'Capacity'!N33*C74)</x:f>
        <x:v>0</x:v>
      </x:c>
      <x:c r="H74" s="24" t="n">
        <x:f>IF('Setup'!$B$22&gt;0,"",'Capacity'!N34*C74)</x:f>
        <x:v>0</x:v>
      </x:c>
      <x:c r="I74" s="24" t="n">
        <x:f>IF('Setup'!$B$22&gt;0,"",'Capacity'!N35*C74)</x:f>
        <x:v>0</x:v>
      </x:c>
      <x:c r="J74" s="24" t="n">
        <x:f>IF('Setup'!$B$22&gt;0,"",MIN(G74:I74))</x:f>
        <x:v>0</x:v>
      </x:c>
      <x:c r="K74" s="24" t="n">
        <x:f>IF('Setup'!$B$22&gt;0,"",MIN(F74,J74))</x:f>
        <x:v>0</x:v>
      </x:c>
      <x:c r="L74" s="24" t="n">
        <x:f>IF('Setup'!$B$22&gt;0,"",MAX(0,F74-K74))</x:f>
        <x:v>121215</x:v>
      </x:c>
      <x:c r="M74" s="23" t="n">
        <x:f>IF('Setup'!$B$22&gt;0,"",IF(J74=0,0,K74/J74))</x:f>
        <x:v>0</x:v>
      </x:c>
      <x:c r="N74" s="25" t="n">
        <x:f>IF('Setup'!$B$22&gt;0,"",SUM('Capacity'!Z33:Z35)*C74)</x:f>
        <x:v>0</x:v>
      </x:c>
      <x:c r="O74" s="25" t="n">
        <x:f>IF('Setup'!$B$22&gt;0,"",SUM('Capacity'!Q33:Q35)*C74)</x:f>
        <x:v>0</x:v>
      </x:c>
      <x:c r="P74" s="1" t="str">
        <x:f>IF('Setup'!$B$22&gt;0,"",IF(C74=0,"Closed",INDEX('Processes'!$A$6:$A$8,MATCH(J74,G74:I74,0))))</x:f>
        <x:v>Closed</x:v>
      </x:c>
      <x:c r="Q74" s="1" t="n">
        <x:f>IF('Setup'!$B$22&gt;0,"",IF(C74=0,0,MAX(0,ROUNDUP(F74/'Capacity'!X33-'Capacity'!Y33,0)-'Capacity'!G33)))</x:f>
        <x:v>0</x:v>
      </x:c>
      <x:c r="R74" s="1" t="n">
        <x:f>IF('Setup'!$B$22&gt;0,"",IF(C74=0,0,MAX(0,ROUNDUP(F74/'Capacity'!X34-'Capacity'!Y34,0)-'Capacity'!G34)))</x:f>
        <x:v>0</x:v>
      </x:c>
      <x:c r="S74" s="1" t="n">
        <x:f>IF('Setup'!$B$22&gt;0,"",IF(C74=0,0,MAX(0,ROUNDUP(F74/'Capacity'!X35-'Capacity'!Y35,0)-'Capacity'!G35)))</x:f>
        <x:v>0</x:v>
      </x:c>
      <x:c r="T74" s="1" t="str">
        <x:f>IF('Setup'!$B$22&gt;0,"",IF(C74=0,IF(L74&gt;'Setup'!$B$7,"Backlog on closed day","Closed"),IF(OR(V74&gt;0,W74&gt;0),"Resolve staffing limits",IF(U74&gt;0,"Resolve physical limit",IF(L74&gt;'Setup'!$B$7,"Close labor capacity gap",IF(L74&gt;0,"Backlog below threshold","Within daily capacity"))))))</x:f>
        <x:v>Backlog on closed day</x:v>
      </x:c>
      <x:c r="U74" s="1" t="n">
        <x:f>IF('Setup'!$B$22&gt;0,"",IF(C74=0,0,MAX(0,F74-INT(MIN('Capacity'!M33:M35)))))</x:f>
        <x:v>0</x:v>
      </x:c>
      <x:c r="V74" s="1" t="n">
        <x:f>IF('Setup'!$B$22&gt;0,"",SUM('Capacity'!T33:T35)*C74)</x:f>
        <x:v>0</x:v>
      </x:c>
      <x:c r="W74" s="1" t="n">
        <x:f>IF('Setup'!$B$22&gt;0,"",SUM('Capacity'!W33:W35)*C74)</x:f>
        <x:v>0</x:v>
      </x:c>
    </x:row>
    <x:row r="75" ht="23" customHeight="1">
      <x:c r="A75" s="20" t="n">
        <x:f>IF('Setup'!$B$22&gt;0,"",'Demand'!A75)</x:f>
        <x:v>46369</x:v>
      </x:c>
      <x:c r="B75" s="1" t="n">
        <x:f>IF('Setup'!$B$22&gt;0,"",'Demand'!B75)</x:f>
        <x:v>10</x:v>
      </x:c>
      <x:c r="C75" s="1" t="n">
        <x:f>IF('Setup'!$B$22&gt;0,"",'Demand'!C75)</x:f>
        <x:v>0</x:v>
      </x:c>
      <x:c r="D75" s="24" t="n">
        <x:f>IF('Setup'!$B$22&gt;0,"",ROUND('Demand'!D75*'Setup'!B17,0))</x:f>
        <x:v>0</x:v>
      </x:c>
      <x:c r="E75" s="24" t="n">
        <x:f>IF('Setup'!$B$22&gt;0,"",L74)</x:f>
        <x:v>121215</x:v>
      </x:c>
      <x:c r="F75" s="24" t="n">
        <x:f>IF('Setup'!$B$22&gt;0,"",D75+E75)</x:f>
        <x:v>121215</x:v>
      </x:c>
      <x:c r="G75" s="24" t="n">
        <x:f>IF('Setup'!$B$22&gt;0,"",'Capacity'!N33*C75)</x:f>
        <x:v>0</x:v>
      </x:c>
      <x:c r="H75" s="24" t="n">
        <x:f>IF('Setup'!$B$22&gt;0,"",'Capacity'!N34*C75)</x:f>
        <x:v>0</x:v>
      </x:c>
      <x:c r="I75" s="24" t="n">
        <x:f>IF('Setup'!$B$22&gt;0,"",'Capacity'!N35*C75)</x:f>
        <x:v>0</x:v>
      </x:c>
      <x:c r="J75" s="24" t="n">
        <x:f>IF('Setup'!$B$22&gt;0,"",MIN(G75:I75))</x:f>
        <x:v>0</x:v>
      </x:c>
      <x:c r="K75" s="24" t="n">
        <x:f>IF('Setup'!$B$22&gt;0,"",MIN(F75,J75))</x:f>
        <x:v>0</x:v>
      </x:c>
      <x:c r="L75" s="24" t="n">
        <x:f>IF('Setup'!$B$22&gt;0,"",MAX(0,F75-K75))</x:f>
        <x:v>121215</x:v>
      </x:c>
      <x:c r="M75" s="23" t="n">
        <x:f>IF('Setup'!$B$22&gt;0,"",IF(J75=0,0,K75/J75))</x:f>
        <x:v>0</x:v>
      </x:c>
      <x:c r="N75" s="25" t="n">
        <x:f>IF('Setup'!$B$22&gt;0,"",SUM('Capacity'!Z33:Z35)*C75)</x:f>
        <x:v>0</x:v>
      </x:c>
      <x:c r="O75" s="25" t="n">
        <x:f>IF('Setup'!$B$22&gt;0,"",SUM('Capacity'!Q33:Q35)*C75)</x:f>
        <x:v>0</x:v>
      </x:c>
      <x:c r="P75" s="1" t="str">
        <x:f>IF('Setup'!$B$22&gt;0,"",IF(C75=0,"Closed",INDEX('Processes'!$A$6:$A$8,MATCH(J75,G75:I75,0))))</x:f>
        <x:v>Closed</x:v>
      </x:c>
      <x:c r="Q75" s="1" t="n">
        <x:f>IF('Setup'!$B$22&gt;0,"",IF(C75=0,0,MAX(0,ROUNDUP(F75/'Capacity'!X33-'Capacity'!Y33,0)-'Capacity'!G33)))</x:f>
        <x:v>0</x:v>
      </x:c>
      <x:c r="R75" s="1" t="n">
        <x:f>IF('Setup'!$B$22&gt;0,"",IF(C75=0,0,MAX(0,ROUNDUP(F75/'Capacity'!X34-'Capacity'!Y34,0)-'Capacity'!G34)))</x:f>
        <x:v>0</x:v>
      </x:c>
      <x:c r="S75" s="1" t="n">
        <x:f>IF('Setup'!$B$22&gt;0,"",IF(C75=0,0,MAX(0,ROUNDUP(F75/'Capacity'!X35-'Capacity'!Y35,0)-'Capacity'!G35)))</x:f>
        <x:v>0</x:v>
      </x:c>
      <x:c r="T75" s="1" t="str">
        <x:f>IF('Setup'!$B$22&gt;0,"",IF(C75=0,IF(L75&gt;'Setup'!$B$7,"Backlog on closed day","Closed"),IF(OR(V75&gt;0,W75&gt;0),"Resolve staffing limits",IF(U75&gt;0,"Resolve physical limit",IF(L75&gt;'Setup'!$B$7,"Close labor capacity gap",IF(L75&gt;0,"Backlog below threshold","Within daily capacity"))))))</x:f>
        <x:v>Backlog on closed day</x:v>
      </x:c>
      <x:c r="U75" s="1" t="n">
        <x:f>IF('Setup'!$B$22&gt;0,"",IF(C75=0,0,MAX(0,F75-INT(MIN('Capacity'!M33:M35)))))</x:f>
        <x:v>0</x:v>
      </x:c>
      <x:c r="V75" s="1" t="n">
        <x:f>IF('Setup'!$B$22&gt;0,"",SUM('Capacity'!T33:T35)*C75)</x:f>
        <x:v>0</x:v>
      </x:c>
      <x:c r="W75" s="1" t="n">
        <x:f>IF('Setup'!$B$22&gt;0,"",SUM('Capacity'!W33:W35)*C75)</x:f>
        <x:v>0</x:v>
      </x:c>
    </x:row>
    <x:row r="76" ht="23" customHeight="1">
      <x:c r="A76" s="20" t="n">
        <x:f>IF('Setup'!$B$22&gt;0,"",'Demand'!A76)</x:f>
        <x:v>46370</x:v>
      </x:c>
      <x:c r="B76" s="1" t="n">
        <x:f>IF('Setup'!$B$22&gt;0,"",'Demand'!B76)</x:f>
        <x:v>11</x:v>
      </x:c>
      <x:c r="C76" s="1" t="n">
        <x:f>IF('Setup'!$B$22&gt;0,"",'Demand'!C76)</x:f>
        <x:v>1</x:v>
      </x:c>
      <x:c r="D76" s="24" t="n">
        <x:f>IF('Setup'!$B$22&gt;0,"",ROUND('Demand'!D76*'Setup'!B17,0))</x:f>
        <x:v>8000</x:v>
      </x:c>
      <x:c r="E76" s="24" t="n">
        <x:f>IF('Setup'!$B$22&gt;0,"",L75)</x:f>
        <x:v>121215</x:v>
      </x:c>
      <x:c r="F76" s="24" t="n">
        <x:f>IF('Setup'!$B$22&gt;0,"",D76+E76)</x:f>
        <x:v>129215</x:v>
      </x:c>
      <x:c r="G76" s="24" t="n">
        <x:f>IF('Setup'!$B$22&gt;0,"",'Capacity'!N36*C76)</x:f>
        <x:v>8372</x:v>
      </x:c>
      <x:c r="H76" s="24" t="n">
        <x:f>IF('Setup'!$B$22&gt;0,"",'Capacity'!N37*C76)</x:f>
        <x:v>7893</x:v>
      </x:c>
      <x:c r="I76" s="24" t="n">
        <x:f>IF('Setup'!$B$22&gt;0,"",'Capacity'!N38*C76)</x:f>
        <x:v>7774</x:v>
      </x:c>
      <x:c r="J76" s="24" t="n">
        <x:f>IF('Setup'!$B$22&gt;0,"",MIN(G76:I76))</x:f>
        <x:v>7774</x:v>
      </x:c>
      <x:c r="K76" s="24" t="n">
        <x:f>IF('Setup'!$B$22&gt;0,"",MIN(F76,J76))</x:f>
        <x:v>7774</x:v>
      </x:c>
      <x:c r="L76" s="24" t="n">
        <x:f>IF('Setup'!$B$22&gt;0,"",MAX(0,F76-K76))</x:f>
        <x:v>121441</x:v>
      </x:c>
      <x:c r="M76" s="23" t="n">
        <x:f>IF('Setup'!$B$22&gt;0,"",IF(J76=0,0,K76/J76))</x:f>
        <x:v>1</x:v>
      </x:c>
      <x:c r="N76" s="25" t="n">
        <x:f>IF('Setup'!$B$22&gt;0,"",SUM('Capacity'!Z36:Z38)*C76)</x:f>
        <x:v>11319.68</x:v>
      </x:c>
      <x:c r="O76" s="25" t="n">
        <x:f>IF('Setup'!$B$22&gt;0,"",SUM('Capacity'!Q36:Q38)*C76)</x:f>
        <x:v>1987.1999999999996</x:v>
      </x:c>
      <x:c r="P76" s="1" t="str">
        <x:f>IF('Setup'!$B$22&gt;0,"",IF(C76=0,"Closed",INDEX('Processes'!$A$6:$A$8,MATCH(J76,G76:I76,0))))</x:f>
        <x:v>Ship</x:v>
      </x:c>
      <x:c r="Q76" s="1" t="n">
        <x:f>IF('Setup'!$B$22&gt;0,"",IF(C76=0,0,MAX(0,ROUNDUP(F76/'Capacity'!X36-'Capacity'!Y36,0)-'Capacity'!G36)))</x:f>
        <x:v>405</x:v>
      </x:c>
      <x:c r="R76" s="1" t="n">
        <x:f>IF('Setup'!$B$22&gt;0,"",IF(C76=0,0,MAX(0,ROUNDUP(F76/'Capacity'!X37-'Capacity'!Y37,0)-'Capacity'!G37)))</x:f>
        <x:v>339</x:v>
      </x:c>
      <x:c r="S76" s="1" t="n">
        <x:f>IF('Setup'!$B$22&gt;0,"",IF(C76=0,0,MAX(0,ROUNDUP(F76/'Capacity'!X38-'Capacity'!Y38,0)-'Capacity'!G38)))</x:f>
        <x:v>204</x:v>
      </x:c>
      <x:c r="T76" s="1" t="str">
        <x:f>IF('Setup'!$B$22&gt;0,"",IF(C76=0,IF(L76&gt;'Setup'!$B$7,"Backlog on closed day","Closed"),IF(OR(V76&gt;0,W76&gt;0),"Resolve staffing limits",IF(U76&gt;0,"Resolve physical limit",IF(L76&gt;'Setup'!$B$7,"Close labor capacity gap",IF(L76&gt;0,"Backlog below threshold","Within daily capacity"))))))</x:f>
        <x:v>Resolve physical limit</x:v>
      </x:c>
      <x:c r="U76" s="1" t="n">
        <x:f>IF('Setup'!$B$22&gt;0,"",IF(C76=0,0,MAX(0,F76-INT(MIN('Capacity'!M36:M38)))))</x:f>
        <x:v>121215</x:v>
      </x:c>
      <x:c r="V76" s="1" t="n">
        <x:f>IF('Setup'!$B$22&gt;0,"",SUM('Capacity'!T36:T38)*C76)</x:f>
        <x:v>0</x:v>
      </x:c>
      <x:c r="W76" s="1" t="n">
        <x:f>IF('Setup'!$B$22&gt;0,"",SUM('Capacity'!W36:W38)*C76)</x:f>
        <x:v>0</x:v>
      </x:c>
    </x:row>
    <x:row r="77" ht="23" customHeight="1">
      <x:c r="A77" s="20" t="n">
        <x:f>IF('Setup'!$B$22&gt;0,"",'Demand'!A77)</x:f>
        <x:v>46371</x:v>
      </x:c>
      <x:c r="B77" s="1" t="n">
        <x:f>IF('Setup'!$B$22&gt;0,"",'Demand'!B77)</x:f>
        <x:v>11</x:v>
      </x:c>
      <x:c r="C77" s="1" t="n">
        <x:f>IF('Setup'!$B$22&gt;0,"",'Demand'!C77)</x:f>
        <x:v>1</x:v>
      </x:c>
      <x:c r="D77" s="24" t="n">
        <x:f>IF('Setup'!$B$22&gt;0,"",ROUND('Demand'!D77*'Setup'!B17,0))</x:f>
        <x:v>8000</x:v>
      </x:c>
      <x:c r="E77" s="24" t="n">
        <x:f>IF('Setup'!$B$22&gt;0,"",L76)</x:f>
        <x:v>121441</x:v>
      </x:c>
      <x:c r="F77" s="24" t="n">
        <x:f>IF('Setup'!$B$22&gt;0,"",D77+E77)</x:f>
        <x:v>129441</x:v>
      </x:c>
      <x:c r="G77" s="24" t="n">
        <x:f>IF('Setup'!$B$22&gt;0,"",'Capacity'!N36*C77)</x:f>
        <x:v>8372</x:v>
      </x:c>
      <x:c r="H77" s="24" t="n">
        <x:f>IF('Setup'!$B$22&gt;0,"",'Capacity'!N37*C77)</x:f>
        <x:v>7893</x:v>
      </x:c>
      <x:c r="I77" s="24" t="n">
        <x:f>IF('Setup'!$B$22&gt;0,"",'Capacity'!N38*C77)</x:f>
        <x:v>7774</x:v>
      </x:c>
      <x:c r="J77" s="24" t="n">
        <x:f>IF('Setup'!$B$22&gt;0,"",MIN(G77:I77))</x:f>
        <x:v>7774</x:v>
      </x:c>
      <x:c r="K77" s="24" t="n">
        <x:f>IF('Setup'!$B$22&gt;0,"",MIN(F77,J77))</x:f>
        <x:v>7774</x:v>
      </x:c>
      <x:c r="L77" s="24" t="n">
        <x:f>IF('Setup'!$B$22&gt;0,"",MAX(0,F77-K77))</x:f>
        <x:v>121667</x:v>
      </x:c>
      <x:c r="M77" s="23" t="n">
        <x:f>IF('Setup'!$B$22&gt;0,"",IF(J77=0,0,K77/J77))</x:f>
        <x:v>1</x:v>
      </x:c>
      <x:c r="N77" s="25" t="n">
        <x:f>IF('Setup'!$B$22&gt;0,"",SUM('Capacity'!Z36:Z38)*C77)</x:f>
        <x:v>11319.68</x:v>
      </x:c>
      <x:c r="O77" s="25" t="n">
        <x:f>IF('Setup'!$B$22&gt;0,"",SUM('Capacity'!Q36:Q38)*C77)</x:f>
        <x:v>1987.1999999999996</x:v>
      </x:c>
      <x:c r="P77" s="1" t="str">
        <x:f>IF('Setup'!$B$22&gt;0,"",IF(C77=0,"Closed",INDEX('Processes'!$A$6:$A$8,MATCH(J77,G77:I77,0))))</x:f>
        <x:v>Ship</x:v>
      </x:c>
      <x:c r="Q77" s="1" t="n">
        <x:f>IF('Setup'!$B$22&gt;0,"",IF(C77=0,0,MAX(0,ROUNDUP(F77/'Capacity'!X36-'Capacity'!Y36,0)-'Capacity'!G36)))</x:f>
        <x:v>405</x:v>
      </x:c>
      <x:c r="R77" s="1" t="n">
        <x:f>IF('Setup'!$B$22&gt;0,"",IF(C77=0,0,MAX(0,ROUNDUP(F77/'Capacity'!X37-'Capacity'!Y37,0)-'Capacity'!G37)))</x:f>
        <x:v>339</x:v>
      </x:c>
      <x:c r="S77" s="1" t="n">
        <x:f>IF('Setup'!$B$22&gt;0,"",IF(C77=0,0,MAX(0,ROUNDUP(F77/'Capacity'!X38-'Capacity'!Y38,0)-'Capacity'!G38)))</x:f>
        <x:v>204</x:v>
      </x:c>
      <x:c r="T77" s="1" t="str">
        <x:f>IF('Setup'!$B$22&gt;0,"",IF(C77=0,IF(L77&gt;'Setup'!$B$7,"Backlog on closed day","Closed"),IF(OR(V77&gt;0,W77&gt;0),"Resolve staffing limits",IF(U77&gt;0,"Resolve physical limit",IF(L77&gt;'Setup'!$B$7,"Close labor capacity gap",IF(L77&gt;0,"Backlog below threshold","Within daily capacity"))))))</x:f>
        <x:v>Resolve physical limit</x:v>
      </x:c>
      <x:c r="U77" s="1" t="n">
        <x:f>IF('Setup'!$B$22&gt;0,"",IF(C77=0,0,MAX(0,F77-INT(MIN('Capacity'!M36:M38)))))</x:f>
        <x:v>121441</x:v>
      </x:c>
      <x:c r="V77" s="1" t="n">
        <x:f>IF('Setup'!$B$22&gt;0,"",SUM('Capacity'!T36:T38)*C77)</x:f>
        <x:v>0</x:v>
      </x:c>
      <x:c r="W77" s="1" t="n">
        <x:f>IF('Setup'!$B$22&gt;0,"",SUM('Capacity'!W36:W38)*C77)</x:f>
        <x:v>0</x:v>
      </x:c>
    </x:row>
    <x:row r="78" ht="23" customHeight="1">
      <x:c r="A78" s="20" t="n">
        <x:f>IF('Setup'!$B$22&gt;0,"",'Demand'!A78)</x:f>
        <x:v>46372</x:v>
      </x:c>
      <x:c r="B78" s="1" t="n">
        <x:f>IF('Setup'!$B$22&gt;0,"",'Demand'!B78)</x:f>
        <x:v>11</x:v>
      </x:c>
      <x:c r="C78" s="1" t="n">
        <x:f>IF('Setup'!$B$22&gt;0,"",'Demand'!C78)</x:f>
        <x:v>1</x:v>
      </x:c>
      <x:c r="D78" s="24" t="n">
        <x:f>IF('Setup'!$B$22&gt;0,"",ROUND('Demand'!D78*'Setup'!B17,0))</x:f>
        <x:v>8000</x:v>
      </x:c>
      <x:c r="E78" s="24" t="n">
        <x:f>IF('Setup'!$B$22&gt;0,"",L77)</x:f>
        <x:v>121667</x:v>
      </x:c>
      <x:c r="F78" s="24" t="n">
        <x:f>IF('Setup'!$B$22&gt;0,"",D78+E78)</x:f>
        <x:v>129667</x:v>
      </x:c>
      <x:c r="G78" s="24" t="n">
        <x:f>IF('Setup'!$B$22&gt;0,"",'Capacity'!N36*C78)</x:f>
        <x:v>8372</x:v>
      </x:c>
      <x:c r="H78" s="24" t="n">
        <x:f>IF('Setup'!$B$22&gt;0,"",'Capacity'!N37*C78)</x:f>
        <x:v>7893</x:v>
      </x:c>
      <x:c r="I78" s="24" t="n">
        <x:f>IF('Setup'!$B$22&gt;0,"",'Capacity'!N38*C78)</x:f>
        <x:v>7774</x:v>
      </x:c>
      <x:c r="J78" s="24" t="n">
        <x:f>IF('Setup'!$B$22&gt;0,"",MIN(G78:I78))</x:f>
        <x:v>7774</x:v>
      </x:c>
      <x:c r="K78" s="24" t="n">
        <x:f>IF('Setup'!$B$22&gt;0,"",MIN(F78,J78))</x:f>
        <x:v>7774</x:v>
      </x:c>
      <x:c r="L78" s="24" t="n">
        <x:f>IF('Setup'!$B$22&gt;0,"",MAX(0,F78-K78))</x:f>
        <x:v>121893</x:v>
      </x:c>
      <x:c r="M78" s="23" t="n">
        <x:f>IF('Setup'!$B$22&gt;0,"",IF(J78=0,0,K78/J78))</x:f>
        <x:v>1</x:v>
      </x:c>
      <x:c r="N78" s="25" t="n">
        <x:f>IF('Setup'!$B$22&gt;0,"",SUM('Capacity'!Z36:Z38)*C78)</x:f>
        <x:v>11319.68</x:v>
      </x:c>
      <x:c r="O78" s="25" t="n">
        <x:f>IF('Setup'!$B$22&gt;0,"",SUM('Capacity'!Q36:Q38)*C78)</x:f>
        <x:v>1987.1999999999996</x:v>
      </x:c>
      <x:c r="P78" s="1" t="str">
        <x:f>IF('Setup'!$B$22&gt;0,"",IF(C78=0,"Closed",INDEX('Processes'!$A$6:$A$8,MATCH(J78,G78:I78,0))))</x:f>
        <x:v>Ship</x:v>
      </x:c>
      <x:c r="Q78" s="1" t="n">
        <x:f>IF('Setup'!$B$22&gt;0,"",IF(C78=0,0,MAX(0,ROUNDUP(F78/'Capacity'!X36-'Capacity'!Y36,0)-'Capacity'!G36)))</x:f>
        <x:v>406</x:v>
      </x:c>
      <x:c r="R78" s="1" t="n">
        <x:f>IF('Setup'!$B$22&gt;0,"",IF(C78=0,0,MAX(0,ROUNDUP(F78/'Capacity'!X37-'Capacity'!Y37,0)-'Capacity'!G37)))</x:f>
        <x:v>340</x:v>
      </x:c>
      <x:c r="S78" s="1" t="n">
        <x:f>IF('Setup'!$B$22&gt;0,"",IF(C78=0,0,MAX(0,ROUNDUP(F78/'Capacity'!X38-'Capacity'!Y38,0)-'Capacity'!G38)))</x:f>
        <x:v>204</x:v>
      </x:c>
      <x:c r="T78" s="1" t="str">
        <x:f>IF('Setup'!$B$22&gt;0,"",IF(C78=0,IF(L78&gt;'Setup'!$B$7,"Backlog on closed day","Closed"),IF(OR(V78&gt;0,W78&gt;0),"Resolve staffing limits",IF(U78&gt;0,"Resolve physical limit",IF(L78&gt;'Setup'!$B$7,"Close labor capacity gap",IF(L78&gt;0,"Backlog below threshold","Within daily capacity"))))))</x:f>
        <x:v>Resolve physical limit</x:v>
      </x:c>
      <x:c r="U78" s="1" t="n">
        <x:f>IF('Setup'!$B$22&gt;0,"",IF(C78=0,0,MAX(0,F78-INT(MIN('Capacity'!M36:M38)))))</x:f>
        <x:v>121667</x:v>
      </x:c>
      <x:c r="V78" s="1" t="n">
        <x:f>IF('Setup'!$B$22&gt;0,"",SUM('Capacity'!T36:T38)*C78)</x:f>
        <x:v>0</x:v>
      </x:c>
      <x:c r="W78" s="1" t="n">
        <x:f>IF('Setup'!$B$22&gt;0,"",SUM('Capacity'!W36:W38)*C78)</x:f>
        <x:v>0</x:v>
      </x:c>
    </x:row>
    <x:row r="79" ht="23" customHeight="1">
      <x:c r="A79" s="20" t="n">
        <x:f>IF('Setup'!$B$22&gt;0,"",'Demand'!A79)</x:f>
        <x:v>46373</x:v>
      </x:c>
      <x:c r="B79" s="1" t="n">
        <x:f>IF('Setup'!$B$22&gt;0,"",'Demand'!B79)</x:f>
        <x:v>11</x:v>
      </x:c>
      <x:c r="C79" s="1" t="n">
        <x:f>IF('Setup'!$B$22&gt;0,"",'Demand'!C79)</x:f>
        <x:v>1</x:v>
      </x:c>
      <x:c r="D79" s="24" t="n">
        <x:f>IF('Setup'!$B$22&gt;0,"",ROUND('Demand'!D79*'Setup'!B17,0))</x:f>
        <x:v>8000</x:v>
      </x:c>
      <x:c r="E79" s="24" t="n">
        <x:f>IF('Setup'!$B$22&gt;0,"",L78)</x:f>
        <x:v>121893</x:v>
      </x:c>
      <x:c r="F79" s="24" t="n">
        <x:f>IF('Setup'!$B$22&gt;0,"",D79+E79)</x:f>
        <x:v>129893</x:v>
      </x:c>
      <x:c r="G79" s="24" t="n">
        <x:f>IF('Setup'!$B$22&gt;0,"",'Capacity'!N36*C79)</x:f>
        <x:v>8372</x:v>
      </x:c>
      <x:c r="H79" s="24" t="n">
        <x:f>IF('Setup'!$B$22&gt;0,"",'Capacity'!N37*C79)</x:f>
        <x:v>7893</x:v>
      </x:c>
      <x:c r="I79" s="24" t="n">
        <x:f>IF('Setup'!$B$22&gt;0,"",'Capacity'!N38*C79)</x:f>
        <x:v>7774</x:v>
      </x:c>
      <x:c r="J79" s="24" t="n">
        <x:f>IF('Setup'!$B$22&gt;0,"",MIN(G79:I79))</x:f>
        <x:v>7774</x:v>
      </x:c>
      <x:c r="K79" s="24" t="n">
        <x:f>IF('Setup'!$B$22&gt;0,"",MIN(F79,J79))</x:f>
        <x:v>7774</x:v>
      </x:c>
      <x:c r="L79" s="24" t="n">
        <x:f>IF('Setup'!$B$22&gt;0,"",MAX(0,F79-K79))</x:f>
        <x:v>122119</x:v>
      </x:c>
      <x:c r="M79" s="23" t="n">
        <x:f>IF('Setup'!$B$22&gt;0,"",IF(J79=0,0,K79/J79))</x:f>
        <x:v>1</x:v>
      </x:c>
      <x:c r="N79" s="25" t="n">
        <x:f>IF('Setup'!$B$22&gt;0,"",SUM('Capacity'!Z36:Z38)*C79)</x:f>
        <x:v>11319.68</x:v>
      </x:c>
      <x:c r="O79" s="25" t="n">
        <x:f>IF('Setup'!$B$22&gt;0,"",SUM('Capacity'!Q36:Q38)*C79)</x:f>
        <x:v>1987.1999999999996</x:v>
      </x:c>
      <x:c r="P79" s="1" t="str">
        <x:f>IF('Setup'!$B$22&gt;0,"",IF(C79=0,"Closed",INDEX('Processes'!$A$6:$A$8,MATCH(J79,G79:I79,0))))</x:f>
        <x:v>Ship</x:v>
      </x:c>
      <x:c r="Q79" s="1" t="n">
        <x:f>IF('Setup'!$B$22&gt;0,"",IF(C79=0,0,MAX(0,ROUNDUP(F79/'Capacity'!X36-'Capacity'!Y36,0)-'Capacity'!G36)))</x:f>
        <x:v>407</x:v>
      </x:c>
      <x:c r="R79" s="1" t="n">
        <x:f>IF('Setup'!$B$22&gt;0,"",IF(C79=0,0,MAX(0,ROUNDUP(F79/'Capacity'!X37-'Capacity'!Y37,0)-'Capacity'!G37)))</x:f>
        <x:v>341</x:v>
      </x:c>
      <x:c r="S79" s="1" t="n">
        <x:f>IF('Setup'!$B$22&gt;0,"",IF(C79=0,0,MAX(0,ROUNDUP(F79/'Capacity'!X38-'Capacity'!Y38,0)-'Capacity'!G38)))</x:f>
        <x:v>205</x:v>
      </x:c>
      <x:c r="T79" s="1" t="str">
        <x:f>IF('Setup'!$B$22&gt;0,"",IF(C79=0,IF(L79&gt;'Setup'!$B$7,"Backlog on closed day","Closed"),IF(OR(V79&gt;0,W79&gt;0),"Resolve staffing limits",IF(U79&gt;0,"Resolve physical limit",IF(L79&gt;'Setup'!$B$7,"Close labor capacity gap",IF(L79&gt;0,"Backlog below threshold","Within daily capacity"))))))</x:f>
        <x:v>Resolve physical limit</x:v>
      </x:c>
      <x:c r="U79" s="1" t="n">
        <x:f>IF('Setup'!$B$22&gt;0,"",IF(C79=0,0,MAX(0,F79-INT(MIN('Capacity'!M36:M38)))))</x:f>
        <x:v>121893</x:v>
      </x:c>
      <x:c r="V79" s="1" t="n">
        <x:f>IF('Setup'!$B$22&gt;0,"",SUM('Capacity'!T36:T38)*C79)</x:f>
        <x:v>0</x:v>
      </x:c>
      <x:c r="W79" s="1" t="n">
        <x:f>IF('Setup'!$B$22&gt;0,"",SUM('Capacity'!W36:W38)*C79)</x:f>
        <x:v>0</x:v>
      </x:c>
    </x:row>
    <x:row r="80" ht="23" customHeight="1">
      <x:c r="A80" s="20" t="n">
        <x:f>IF('Setup'!$B$22&gt;0,"",'Demand'!A80)</x:f>
        <x:v>46374</x:v>
      </x:c>
      <x:c r="B80" s="1" t="n">
        <x:f>IF('Setup'!$B$22&gt;0,"",'Demand'!B80)</x:f>
        <x:v>11</x:v>
      </x:c>
      <x:c r="C80" s="1" t="n">
        <x:f>IF('Setup'!$B$22&gt;0,"",'Demand'!C80)</x:f>
        <x:v>1</x:v>
      </x:c>
      <x:c r="D80" s="24" t="n">
        <x:f>IF('Setup'!$B$22&gt;0,"",ROUND('Demand'!D80*'Setup'!B17,0))</x:f>
        <x:v>8000</x:v>
      </x:c>
      <x:c r="E80" s="24" t="n">
        <x:f>IF('Setup'!$B$22&gt;0,"",L79)</x:f>
        <x:v>122119</x:v>
      </x:c>
      <x:c r="F80" s="24" t="n">
        <x:f>IF('Setup'!$B$22&gt;0,"",D80+E80)</x:f>
        <x:v>130119</x:v>
      </x:c>
      <x:c r="G80" s="24" t="n">
        <x:f>IF('Setup'!$B$22&gt;0,"",'Capacity'!N36*C80)</x:f>
        <x:v>8372</x:v>
      </x:c>
      <x:c r="H80" s="24" t="n">
        <x:f>IF('Setup'!$B$22&gt;0,"",'Capacity'!N37*C80)</x:f>
        <x:v>7893</x:v>
      </x:c>
      <x:c r="I80" s="24" t="n">
        <x:f>IF('Setup'!$B$22&gt;0,"",'Capacity'!N38*C80)</x:f>
        <x:v>7774</x:v>
      </x:c>
      <x:c r="J80" s="24" t="n">
        <x:f>IF('Setup'!$B$22&gt;0,"",MIN(G80:I80))</x:f>
        <x:v>7774</x:v>
      </x:c>
      <x:c r="K80" s="24" t="n">
        <x:f>IF('Setup'!$B$22&gt;0,"",MIN(F80,J80))</x:f>
        <x:v>7774</x:v>
      </x:c>
      <x:c r="L80" s="24" t="n">
        <x:f>IF('Setup'!$B$22&gt;0,"",MAX(0,F80-K80))</x:f>
        <x:v>122345</x:v>
      </x:c>
      <x:c r="M80" s="23" t="n">
        <x:f>IF('Setup'!$B$22&gt;0,"",IF(J80=0,0,K80/J80))</x:f>
        <x:v>1</x:v>
      </x:c>
      <x:c r="N80" s="25" t="n">
        <x:f>IF('Setup'!$B$22&gt;0,"",SUM('Capacity'!Z36:Z38)*C80)</x:f>
        <x:v>11319.68</x:v>
      </x:c>
      <x:c r="O80" s="25" t="n">
        <x:f>IF('Setup'!$B$22&gt;0,"",SUM('Capacity'!Q36:Q38)*C80)</x:f>
        <x:v>1987.1999999999996</x:v>
      </x:c>
      <x:c r="P80" s="1" t="str">
        <x:f>IF('Setup'!$B$22&gt;0,"",IF(C80=0,"Closed",INDEX('Processes'!$A$6:$A$8,MATCH(J80,G80:I80,0))))</x:f>
        <x:v>Ship</x:v>
      </x:c>
      <x:c r="Q80" s="1" t="n">
        <x:f>IF('Setup'!$B$22&gt;0,"",IF(C80=0,0,MAX(0,ROUNDUP(F80/'Capacity'!X36-'Capacity'!Y36,0)-'Capacity'!G36)))</x:f>
        <x:v>408</x:v>
      </x:c>
      <x:c r="R80" s="1" t="n">
        <x:f>IF('Setup'!$B$22&gt;0,"",IF(C80=0,0,MAX(0,ROUNDUP(F80/'Capacity'!X37-'Capacity'!Y37,0)-'Capacity'!G37)))</x:f>
        <x:v>341</x:v>
      </x:c>
      <x:c r="S80" s="1" t="n">
        <x:f>IF('Setup'!$B$22&gt;0,"",IF(C80=0,0,MAX(0,ROUNDUP(F80/'Capacity'!X38-'Capacity'!Y38,0)-'Capacity'!G38)))</x:f>
        <x:v>205</x:v>
      </x:c>
      <x:c r="T80" s="1" t="str">
        <x:f>IF('Setup'!$B$22&gt;0,"",IF(C80=0,IF(L80&gt;'Setup'!$B$7,"Backlog on closed day","Closed"),IF(OR(V80&gt;0,W80&gt;0),"Resolve staffing limits",IF(U80&gt;0,"Resolve physical limit",IF(L80&gt;'Setup'!$B$7,"Close labor capacity gap",IF(L80&gt;0,"Backlog below threshold","Within daily capacity"))))))</x:f>
        <x:v>Resolve physical limit</x:v>
      </x:c>
      <x:c r="U80" s="1" t="n">
        <x:f>IF('Setup'!$B$22&gt;0,"",IF(C80=0,0,MAX(0,F80-INT(MIN('Capacity'!M36:M38)))))</x:f>
        <x:v>122119</x:v>
      </x:c>
      <x:c r="V80" s="1" t="n">
        <x:f>IF('Setup'!$B$22&gt;0,"",SUM('Capacity'!T36:T38)*C80)</x:f>
        <x:v>0</x:v>
      </x:c>
      <x:c r="W80" s="1" t="n">
        <x:f>IF('Setup'!$B$22&gt;0,"",SUM('Capacity'!W36:W38)*C80)</x:f>
        <x:v>0</x:v>
      </x:c>
    </x:row>
    <x:row r="81" ht="23" customHeight="1">
      <x:c r="A81" s="20" t="n">
        <x:f>IF('Setup'!$B$22&gt;0,"",'Demand'!A81)</x:f>
        <x:v>46375</x:v>
      </x:c>
      <x:c r="B81" s="1" t="n">
        <x:f>IF('Setup'!$B$22&gt;0,"",'Demand'!B81)</x:f>
        <x:v>11</x:v>
      </x:c>
      <x:c r="C81" s="1" t="n">
        <x:f>IF('Setup'!$B$22&gt;0,"",'Demand'!C81)</x:f>
        <x:v>0</x:v>
      </x:c>
      <x:c r="D81" s="24" t="n">
        <x:f>IF('Setup'!$B$22&gt;0,"",ROUND('Demand'!D81*'Setup'!B17,0))</x:f>
        <x:v>0</x:v>
      </x:c>
      <x:c r="E81" s="24" t="n">
        <x:f>IF('Setup'!$B$22&gt;0,"",L80)</x:f>
        <x:v>122345</x:v>
      </x:c>
      <x:c r="F81" s="24" t="n">
        <x:f>IF('Setup'!$B$22&gt;0,"",D81+E81)</x:f>
        <x:v>122345</x:v>
      </x:c>
      <x:c r="G81" s="24" t="n">
        <x:f>IF('Setup'!$B$22&gt;0,"",'Capacity'!N36*C81)</x:f>
        <x:v>0</x:v>
      </x:c>
      <x:c r="H81" s="24" t="n">
        <x:f>IF('Setup'!$B$22&gt;0,"",'Capacity'!N37*C81)</x:f>
        <x:v>0</x:v>
      </x:c>
      <x:c r="I81" s="24" t="n">
        <x:f>IF('Setup'!$B$22&gt;0,"",'Capacity'!N38*C81)</x:f>
        <x:v>0</x:v>
      </x:c>
      <x:c r="J81" s="24" t="n">
        <x:f>IF('Setup'!$B$22&gt;0,"",MIN(G81:I81))</x:f>
        <x:v>0</x:v>
      </x:c>
      <x:c r="K81" s="24" t="n">
        <x:f>IF('Setup'!$B$22&gt;0,"",MIN(F81,J81))</x:f>
        <x:v>0</x:v>
      </x:c>
      <x:c r="L81" s="24" t="n">
        <x:f>IF('Setup'!$B$22&gt;0,"",MAX(0,F81-K81))</x:f>
        <x:v>122345</x:v>
      </x:c>
      <x:c r="M81" s="23" t="n">
        <x:f>IF('Setup'!$B$22&gt;0,"",IF(J81=0,0,K81/J81))</x:f>
        <x:v>0</x:v>
      </x:c>
      <x:c r="N81" s="25" t="n">
        <x:f>IF('Setup'!$B$22&gt;0,"",SUM('Capacity'!Z36:Z38)*C81)</x:f>
        <x:v>0</x:v>
      </x:c>
      <x:c r="O81" s="25" t="n">
        <x:f>IF('Setup'!$B$22&gt;0,"",SUM('Capacity'!Q36:Q38)*C81)</x:f>
        <x:v>0</x:v>
      </x:c>
      <x:c r="P81" s="1" t="str">
        <x:f>IF('Setup'!$B$22&gt;0,"",IF(C81=0,"Closed",INDEX('Processes'!$A$6:$A$8,MATCH(J81,G81:I81,0))))</x:f>
        <x:v>Closed</x:v>
      </x:c>
      <x:c r="Q81" s="1" t="n">
        <x:f>IF('Setup'!$B$22&gt;0,"",IF(C81=0,0,MAX(0,ROUNDUP(F81/'Capacity'!X36-'Capacity'!Y36,0)-'Capacity'!G36)))</x:f>
        <x:v>0</x:v>
      </x:c>
      <x:c r="R81" s="1" t="n">
        <x:f>IF('Setup'!$B$22&gt;0,"",IF(C81=0,0,MAX(0,ROUNDUP(F81/'Capacity'!X37-'Capacity'!Y37,0)-'Capacity'!G37)))</x:f>
        <x:v>0</x:v>
      </x:c>
      <x:c r="S81" s="1" t="n">
        <x:f>IF('Setup'!$B$22&gt;0,"",IF(C81=0,0,MAX(0,ROUNDUP(F81/'Capacity'!X38-'Capacity'!Y38,0)-'Capacity'!G38)))</x:f>
        <x:v>0</x:v>
      </x:c>
      <x:c r="T81" s="1" t="str">
        <x:f>IF('Setup'!$B$22&gt;0,"",IF(C81=0,IF(L81&gt;'Setup'!$B$7,"Backlog on closed day","Closed"),IF(OR(V81&gt;0,W81&gt;0),"Resolve staffing limits",IF(U81&gt;0,"Resolve physical limit",IF(L81&gt;'Setup'!$B$7,"Close labor capacity gap",IF(L81&gt;0,"Backlog below threshold","Within daily capacity"))))))</x:f>
        <x:v>Backlog on closed day</x:v>
      </x:c>
      <x:c r="U81" s="1" t="n">
        <x:f>IF('Setup'!$B$22&gt;0,"",IF(C81=0,0,MAX(0,F81-INT(MIN('Capacity'!M36:M38)))))</x:f>
        <x:v>0</x:v>
      </x:c>
      <x:c r="V81" s="1" t="n">
        <x:f>IF('Setup'!$B$22&gt;0,"",SUM('Capacity'!T36:T38)*C81)</x:f>
        <x:v>0</x:v>
      </x:c>
      <x:c r="W81" s="1" t="n">
        <x:f>IF('Setup'!$B$22&gt;0,"",SUM('Capacity'!W36:W38)*C81)</x:f>
        <x:v>0</x:v>
      </x:c>
    </x:row>
    <x:row r="82" ht="23" customHeight="1">
      <x:c r="A82" s="20" t="n">
        <x:f>IF('Setup'!$B$22&gt;0,"",'Demand'!A82)</x:f>
        <x:v>46376</x:v>
      </x:c>
      <x:c r="B82" s="1" t="n">
        <x:f>IF('Setup'!$B$22&gt;0,"",'Demand'!B82)</x:f>
        <x:v>11</x:v>
      </x:c>
      <x:c r="C82" s="1" t="n">
        <x:f>IF('Setup'!$B$22&gt;0,"",'Demand'!C82)</x:f>
        <x:v>0</x:v>
      </x:c>
      <x:c r="D82" s="24" t="n">
        <x:f>IF('Setup'!$B$22&gt;0,"",ROUND('Demand'!D82*'Setup'!B17,0))</x:f>
        <x:v>0</x:v>
      </x:c>
      <x:c r="E82" s="24" t="n">
        <x:f>IF('Setup'!$B$22&gt;0,"",L81)</x:f>
        <x:v>122345</x:v>
      </x:c>
      <x:c r="F82" s="24" t="n">
        <x:f>IF('Setup'!$B$22&gt;0,"",D82+E82)</x:f>
        <x:v>122345</x:v>
      </x:c>
      <x:c r="G82" s="24" t="n">
        <x:f>IF('Setup'!$B$22&gt;0,"",'Capacity'!N36*C82)</x:f>
        <x:v>0</x:v>
      </x:c>
      <x:c r="H82" s="24" t="n">
        <x:f>IF('Setup'!$B$22&gt;0,"",'Capacity'!N37*C82)</x:f>
        <x:v>0</x:v>
      </x:c>
      <x:c r="I82" s="24" t="n">
        <x:f>IF('Setup'!$B$22&gt;0,"",'Capacity'!N38*C82)</x:f>
        <x:v>0</x:v>
      </x:c>
      <x:c r="J82" s="24" t="n">
        <x:f>IF('Setup'!$B$22&gt;0,"",MIN(G82:I82))</x:f>
        <x:v>0</x:v>
      </x:c>
      <x:c r="K82" s="24" t="n">
        <x:f>IF('Setup'!$B$22&gt;0,"",MIN(F82,J82))</x:f>
        <x:v>0</x:v>
      </x:c>
      <x:c r="L82" s="24" t="n">
        <x:f>IF('Setup'!$B$22&gt;0,"",MAX(0,F82-K82))</x:f>
        <x:v>122345</x:v>
      </x:c>
      <x:c r="M82" s="23" t="n">
        <x:f>IF('Setup'!$B$22&gt;0,"",IF(J82=0,0,K82/J82))</x:f>
        <x:v>0</x:v>
      </x:c>
      <x:c r="N82" s="25" t="n">
        <x:f>IF('Setup'!$B$22&gt;0,"",SUM('Capacity'!Z36:Z38)*C82)</x:f>
        <x:v>0</x:v>
      </x:c>
      <x:c r="O82" s="25" t="n">
        <x:f>IF('Setup'!$B$22&gt;0,"",SUM('Capacity'!Q36:Q38)*C82)</x:f>
        <x:v>0</x:v>
      </x:c>
      <x:c r="P82" s="1" t="str">
        <x:f>IF('Setup'!$B$22&gt;0,"",IF(C82=0,"Closed",INDEX('Processes'!$A$6:$A$8,MATCH(J82,G82:I82,0))))</x:f>
        <x:v>Closed</x:v>
      </x:c>
      <x:c r="Q82" s="1" t="n">
        <x:f>IF('Setup'!$B$22&gt;0,"",IF(C82=0,0,MAX(0,ROUNDUP(F82/'Capacity'!X36-'Capacity'!Y36,0)-'Capacity'!G36)))</x:f>
        <x:v>0</x:v>
      </x:c>
      <x:c r="R82" s="1" t="n">
        <x:f>IF('Setup'!$B$22&gt;0,"",IF(C82=0,0,MAX(0,ROUNDUP(F82/'Capacity'!X37-'Capacity'!Y37,0)-'Capacity'!G37)))</x:f>
        <x:v>0</x:v>
      </x:c>
      <x:c r="S82" s="1" t="n">
        <x:f>IF('Setup'!$B$22&gt;0,"",IF(C82=0,0,MAX(0,ROUNDUP(F82/'Capacity'!X38-'Capacity'!Y38,0)-'Capacity'!G38)))</x:f>
        <x:v>0</x:v>
      </x:c>
      <x:c r="T82" s="1" t="str">
        <x:f>IF('Setup'!$B$22&gt;0,"",IF(C82=0,IF(L82&gt;'Setup'!$B$7,"Backlog on closed day","Closed"),IF(OR(V82&gt;0,W82&gt;0),"Resolve staffing limits",IF(U82&gt;0,"Resolve physical limit",IF(L82&gt;'Setup'!$B$7,"Close labor capacity gap",IF(L82&gt;0,"Backlog below threshold","Within daily capacity"))))))</x:f>
        <x:v>Backlog on closed day</x:v>
      </x:c>
      <x:c r="U82" s="1" t="n">
        <x:f>IF('Setup'!$B$22&gt;0,"",IF(C82=0,0,MAX(0,F82-INT(MIN('Capacity'!M36:M38)))))</x:f>
        <x:v>0</x:v>
      </x:c>
      <x:c r="V82" s="1" t="n">
        <x:f>IF('Setup'!$B$22&gt;0,"",SUM('Capacity'!T36:T38)*C82)</x:f>
        <x:v>0</x:v>
      </x:c>
      <x:c r="W82" s="1" t="n">
        <x:f>IF('Setup'!$B$22&gt;0,"",SUM('Capacity'!W36:W38)*C82)</x:f>
        <x:v>0</x:v>
      </x:c>
    </x:row>
    <x:row r="83" ht="23" customHeight="1">
      <x:c r="A83" s="20" t="n">
        <x:f>IF('Setup'!$B$22&gt;0,"",'Demand'!A83)</x:f>
        <x:v>46377</x:v>
      </x:c>
      <x:c r="B83" s="1" t="n">
        <x:f>IF('Setup'!$B$22&gt;0,"",'Demand'!B83)</x:f>
        <x:v>12</x:v>
      </x:c>
      <x:c r="C83" s="1" t="n">
        <x:f>IF('Setup'!$B$22&gt;0,"",'Demand'!C83)</x:f>
        <x:v>1</x:v>
      </x:c>
      <x:c r="D83" s="24" t="n">
        <x:f>IF('Setup'!$B$22&gt;0,"",ROUND('Demand'!D83*'Setup'!B17,0))</x:f>
        <x:v>6500</x:v>
      </x:c>
      <x:c r="E83" s="24" t="n">
        <x:f>IF('Setup'!$B$22&gt;0,"",L82)</x:f>
        <x:v>122345</x:v>
      </x:c>
      <x:c r="F83" s="24" t="n">
        <x:f>IF('Setup'!$B$22&gt;0,"",D83+E83)</x:f>
        <x:v>128845</x:v>
      </x:c>
      <x:c r="G83" s="24" t="n">
        <x:f>IF('Setup'!$B$22&gt;0,"",'Capacity'!N39*C83)</x:f>
        <x:v>8372</x:v>
      </x:c>
      <x:c r="H83" s="24" t="n">
        <x:f>IF('Setup'!$B$22&gt;0,"",'Capacity'!N40*C83)</x:f>
        <x:v>7893</x:v>
      </x:c>
      <x:c r="I83" s="24" t="n">
        <x:f>IF('Setup'!$B$22&gt;0,"",'Capacity'!N41*C83)</x:f>
        <x:v>7774</x:v>
      </x:c>
      <x:c r="J83" s="24" t="n">
        <x:f>IF('Setup'!$B$22&gt;0,"",MIN(G83:I83))</x:f>
        <x:v>7774</x:v>
      </x:c>
      <x:c r="K83" s="24" t="n">
        <x:f>IF('Setup'!$B$22&gt;0,"",MIN(F83,J83))</x:f>
        <x:v>7774</x:v>
      </x:c>
      <x:c r="L83" s="24" t="n">
        <x:f>IF('Setup'!$B$22&gt;0,"",MAX(0,F83-K83))</x:f>
        <x:v>121071</x:v>
      </x:c>
      <x:c r="M83" s="23" t="n">
        <x:f>IF('Setup'!$B$22&gt;0,"",IF(J83=0,0,K83/J83))</x:f>
        <x:v>1</x:v>
      </x:c>
      <x:c r="N83" s="25" t="n">
        <x:f>IF('Setup'!$B$22&gt;0,"",SUM('Capacity'!Z39:Z41)*C83)</x:f>
        <x:v>11319.68</x:v>
      </x:c>
      <x:c r="O83" s="25" t="n">
        <x:f>IF('Setup'!$B$22&gt;0,"",SUM('Capacity'!Q39:Q41)*C83)</x:f>
        <x:v>1987.1999999999996</x:v>
      </x:c>
      <x:c r="P83" s="1" t="str">
        <x:f>IF('Setup'!$B$22&gt;0,"",IF(C83=0,"Closed",INDEX('Processes'!$A$6:$A$8,MATCH(J83,G83:I83,0))))</x:f>
        <x:v>Ship</x:v>
      </x:c>
      <x:c r="Q83" s="1" t="n">
        <x:f>IF('Setup'!$B$22&gt;0,"",IF(C83=0,0,MAX(0,ROUNDUP(F83/'Capacity'!X39-'Capacity'!Y39,0)-'Capacity'!G39)))</x:f>
        <x:v>403</x:v>
      </x:c>
      <x:c r="R83" s="1" t="n">
        <x:f>IF('Setup'!$B$22&gt;0,"",IF(C83=0,0,MAX(0,ROUNDUP(F83/'Capacity'!X40-'Capacity'!Y40,0)-'Capacity'!G40)))</x:f>
        <x:v>338</x:v>
      </x:c>
      <x:c r="S83" s="1" t="n">
        <x:f>IF('Setup'!$B$22&gt;0,"",IF(C83=0,0,MAX(0,ROUNDUP(F83/'Capacity'!X41-'Capacity'!Y41,0)-'Capacity'!G41)))</x:f>
        <x:v>203</x:v>
      </x:c>
      <x:c r="T83" s="1" t="str">
        <x:f>IF('Setup'!$B$22&gt;0,"",IF(C83=0,IF(L83&gt;'Setup'!$B$7,"Backlog on closed day","Closed"),IF(OR(V83&gt;0,W83&gt;0),"Resolve staffing limits",IF(U83&gt;0,"Resolve physical limit",IF(L83&gt;'Setup'!$B$7,"Close labor capacity gap",IF(L83&gt;0,"Backlog below threshold","Within daily capacity"))))))</x:f>
        <x:v>Resolve physical limit</x:v>
      </x:c>
      <x:c r="U83" s="1" t="n">
        <x:f>IF('Setup'!$B$22&gt;0,"",IF(C83=0,0,MAX(0,F83-INT(MIN('Capacity'!M39:M41)))))</x:f>
        <x:v>120845</x:v>
      </x:c>
      <x:c r="V83" s="1" t="n">
        <x:f>IF('Setup'!$B$22&gt;0,"",SUM('Capacity'!T39:T41)*C83)</x:f>
        <x:v>0</x:v>
      </x:c>
      <x:c r="W83" s="1" t="n">
        <x:f>IF('Setup'!$B$22&gt;0,"",SUM('Capacity'!W39:W41)*C83)</x:f>
        <x:v>0</x:v>
      </x:c>
    </x:row>
    <x:row r="84" ht="23" customHeight="1">
      <x:c r="A84" s="20" t="n">
        <x:f>IF('Setup'!$B$22&gt;0,"",'Demand'!A84)</x:f>
        <x:v>46378</x:v>
      </x:c>
      <x:c r="B84" s="1" t="n">
        <x:f>IF('Setup'!$B$22&gt;0,"",'Demand'!B84)</x:f>
        <x:v>12</x:v>
      </x:c>
      <x:c r="C84" s="1" t="n">
        <x:f>IF('Setup'!$B$22&gt;0,"",'Demand'!C84)</x:f>
        <x:v>1</x:v>
      </x:c>
      <x:c r="D84" s="24" t="n">
        <x:f>IF('Setup'!$B$22&gt;0,"",ROUND('Demand'!D84*'Setup'!B17,0))</x:f>
        <x:v>6500</x:v>
      </x:c>
      <x:c r="E84" s="24" t="n">
        <x:f>IF('Setup'!$B$22&gt;0,"",L83)</x:f>
        <x:v>121071</x:v>
      </x:c>
      <x:c r="F84" s="24" t="n">
        <x:f>IF('Setup'!$B$22&gt;0,"",D84+E84)</x:f>
        <x:v>127571</x:v>
      </x:c>
      <x:c r="G84" s="24" t="n">
        <x:f>IF('Setup'!$B$22&gt;0,"",'Capacity'!N39*C84)</x:f>
        <x:v>8372</x:v>
      </x:c>
      <x:c r="H84" s="24" t="n">
        <x:f>IF('Setup'!$B$22&gt;0,"",'Capacity'!N40*C84)</x:f>
        <x:v>7893</x:v>
      </x:c>
      <x:c r="I84" s="24" t="n">
        <x:f>IF('Setup'!$B$22&gt;0,"",'Capacity'!N41*C84)</x:f>
        <x:v>7774</x:v>
      </x:c>
      <x:c r="J84" s="24" t="n">
        <x:f>IF('Setup'!$B$22&gt;0,"",MIN(G84:I84))</x:f>
        <x:v>7774</x:v>
      </x:c>
      <x:c r="K84" s="24" t="n">
        <x:f>IF('Setup'!$B$22&gt;0,"",MIN(F84,J84))</x:f>
        <x:v>7774</x:v>
      </x:c>
      <x:c r="L84" s="24" t="n">
        <x:f>IF('Setup'!$B$22&gt;0,"",MAX(0,F84-K84))</x:f>
        <x:v>119797</x:v>
      </x:c>
      <x:c r="M84" s="23" t="n">
        <x:f>IF('Setup'!$B$22&gt;0,"",IF(J84=0,0,K84/J84))</x:f>
        <x:v>1</x:v>
      </x:c>
      <x:c r="N84" s="25" t="n">
        <x:f>IF('Setup'!$B$22&gt;0,"",SUM('Capacity'!Z39:Z41)*C84)</x:f>
        <x:v>11319.68</x:v>
      </x:c>
      <x:c r="O84" s="25" t="n">
        <x:f>IF('Setup'!$B$22&gt;0,"",SUM('Capacity'!Q39:Q41)*C84)</x:f>
        <x:v>1987.1999999999996</x:v>
      </x:c>
      <x:c r="P84" s="1" t="str">
        <x:f>IF('Setup'!$B$22&gt;0,"",IF(C84=0,"Closed",INDEX('Processes'!$A$6:$A$8,MATCH(J84,G84:I84,0))))</x:f>
        <x:v>Ship</x:v>
      </x:c>
      <x:c r="Q84" s="1" t="n">
        <x:f>IF('Setup'!$B$22&gt;0,"",IF(C84=0,0,MAX(0,ROUNDUP(F84/'Capacity'!X39-'Capacity'!Y39,0)-'Capacity'!G39)))</x:f>
        <x:v>399</x:v>
      </x:c>
      <x:c r="R84" s="1" t="n">
        <x:f>IF('Setup'!$B$22&gt;0,"",IF(C84=0,0,MAX(0,ROUNDUP(F84/'Capacity'!X40-'Capacity'!Y40,0)-'Capacity'!G40)))</x:f>
        <x:v>334</x:v>
      </x:c>
      <x:c r="S84" s="1" t="n">
        <x:f>IF('Setup'!$B$22&gt;0,"",IF(C84=0,0,MAX(0,ROUNDUP(F84/'Capacity'!X41-'Capacity'!Y41,0)-'Capacity'!G41)))</x:f>
        <x:v>201</x:v>
      </x:c>
      <x:c r="T84" s="1" t="str">
        <x:f>IF('Setup'!$B$22&gt;0,"",IF(C84=0,IF(L84&gt;'Setup'!$B$7,"Backlog on closed day","Closed"),IF(OR(V84&gt;0,W84&gt;0),"Resolve staffing limits",IF(U84&gt;0,"Resolve physical limit",IF(L84&gt;'Setup'!$B$7,"Close labor capacity gap",IF(L84&gt;0,"Backlog below threshold","Within daily capacity"))))))</x:f>
        <x:v>Resolve physical limit</x:v>
      </x:c>
      <x:c r="U84" s="1" t="n">
        <x:f>IF('Setup'!$B$22&gt;0,"",IF(C84=0,0,MAX(0,F84-INT(MIN('Capacity'!M39:M41)))))</x:f>
        <x:v>119571</x:v>
      </x:c>
      <x:c r="V84" s="1" t="n">
        <x:f>IF('Setup'!$B$22&gt;0,"",SUM('Capacity'!T39:T41)*C84)</x:f>
        <x:v>0</x:v>
      </x:c>
      <x:c r="W84" s="1" t="n">
        <x:f>IF('Setup'!$B$22&gt;0,"",SUM('Capacity'!W39:W41)*C84)</x:f>
        <x:v>0</x:v>
      </x:c>
    </x:row>
    <x:row r="85" ht="23" customHeight="1">
      <x:c r="A85" s="20" t="n">
        <x:f>IF('Setup'!$B$22&gt;0,"",'Demand'!A85)</x:f>
        <x:v>46379</x:v>
      </x:c>
      <x:c r="B85" s="1" t="n">
        <x:f>IF('Setup'!$B$22&gt;0,"",'Demand'!B85)</x:f>
        <x:v>12</x:v>
      </x:c>
      <x:c r="C85" s="1" t="n">
        <x:f>IF('Setup'!$B$22&gt;0,"",'Demand'!C85)</x:f>
        <x:v>1</x:v>
      </x:c>
      <x:c r="D85" s="24" t="n">
        <x:f>IF('Setup'!$B$22&gt;0,"",ROUND('Demand'!D85*'Setup'!B17,0))</x:f>
        <x:v>6500</x:v>
      </x:c>
      <x:c r="E85" s="24" t="n">
        <x:f>IF('Setup'!$B$22&gt;0,"",L84)</x:f>
        <x:v>119797</x:v>
      </x:c>
      <x:c r="F85" s="24" t="n">
        <x:f>IF('Setup'!$B$22&gt;0,"",D85+E85)</x:f>
        <x:v>126297</x:v>
      </x:c>
      <x:c r="G85" s="24" t="n">
        <x:f>IF('Setup'!$B$22&gt;0,"",'Capacity'!N39*C85)</x:f>
        <x:v>8372</x:v>
      </x:c>
      <x:c r="H85" s="24" t="n">
        <x:f>IF('Setup'!$B$22&gt;0,"",'Capacity'!N40*C85)</x:f>
        <x:v>7893</x:v>
      </x:c>
      <x:c r="I85" s="24" t="n">
        <x:f>IF('Setup'!$B$22&gt;0,"",'Capacity'!N41*C85)</x:f>
        <x:v>7774</x:v>
      </x:c>
      <x:c r="J85" s="24" t="n">
        <x:f>IF('Setup'!$B$22&gt;0,"",MIN(G85:I85))</x:f>
        <x:v>7774</x:v>
      </x:c>
      <x:c r="K85" s="24" t="n">
        <x:f>IF('Setup'!$B$22&gt;0,"",MIN(F85,J85))</x:f>
        <x:v>7774</x:v>
      </x:c>
      <x:c r="L85" s="24" t="n">
        <x:f>IF('Setup'!$B$22&gt;0,"",MAX(0,F85-K85))</x:f>
        <x:v>118523</x:v>
      </x:c>
      <x:c r="M85" s="23" t="n">
        <x:f>IF('Setup'!$B$22&gt;0,"",IF(J85=0,0,K85/J85))</x:f>
        <x:v>1</x:v>
      </x:c>
      <x:c r="N85" s="25" t="n">
        <x:f>IF('Setup'!$B$22&gt;0,"",SUM('Capacity'!Z39:Z41)*C85)</x:f>
        <x:v>11319.68</x:v>
      </x:c>
      <x:c r="O85" s="25" t="n">
        <x:f>IF('Setup'!$B$22&gt;0,"",SUM('Capacity'!Q39:Q41)*C85)</x:f>
        <x:v>1987.1999999999996</x:v>
      </x:c>
      <x:c r="P85" s="1" t="str">
        <x:f>IF('Setup'!$B$22&gt;0,"",IF(C85=0,"Closed",INDEX('Processes'!$A$6:$A$8,MATCH(J85,G85:I85,0))))</x:f>
        <x:v>Ship</x:v>
      </x:c>
      <x:c r="Q85" s="1" t="n">
        <x:f>IF('Setup'!$B$22&gt;0,"",IF(C85=0,0,MAX(0,ROUNDUP(F85/'Capacity'!X39-'Capacity'!Y39,0)-'Capacity'!G39)))</x:f>
        <x:v>395</x:v>
      </x:c>
      <x:c r="R85" s="1" t="n">
        <x:f>IF('Setup'!$B$22&gt;0,"",IF(C85=0,0,MAX(0,ROUNDUP(F85/'Capacity'!X40-'Capacity'!Y40,0)-'Capacity'!G40)))</x:f>
        <x:v>330</x:v>
      </x:c>
      <x:c r="S85" s="1" t="n">
        <x:f>IF('Setup'!$B$22&gt;0,"",IF(C85=0,0,MAX(0,ROUNDUP(F85/'Capacity'!X41-'Capacity'!Y41,0)-'Capacity'!G41)))</x:f>
        <x:v>199</x:v>
      </x:c>
      <x:c r="T85" s="1" t="str">
        <x:f>IF('Setup'!$B$22&gt;0,"",IF(C85=0,IF(L85&gt;'Setup'!$B$7,"Backlog on closed day","Closed"),IF(OR(V85&gt;0,W85&gt;0),"Resolve staffing limits",IF(U85&gt;0,"Resolve physical limit",IF(L85&gt;'Setup'!$B$7,"Close labor capacity gap",IF(L85&gt;0,"Backlog below threshold","Within daily capacity"))))))</x:f>
        <x:v>Resolve physical limit</x:v>
      </x:c>
      <x:c r="U85" s="1" t="n">
        <x:f>IF('Setup'!$B$22&gt;0,"",IF(C85=0,0,MAX(0,F85-INT(MIN('Capacity'!M39:M41)))))</x:f>
        <x:v>118297</x:v>
      </x:c>
      <x:c r="V85" s="1" t="n">
        <x:f>IF('Setup'!$B$22&gt;0,"",SUM('Capacity'!T39:T41)*C85)</x:f>
        <x:v>0</x:v>
      </x:c>
      <x:c r="W85" s="1" t="n">
        <x:f>IF('Setup'!$B$22&gt;0,"",SUM('Capacity'!W39:W41)*C85)</x:f>
        <x:v>0</x:v>
      </x:c>
    </x:row>
    <x:row r="86" ht="23" customHeight="1">
      <x:c r="A86" s="20" t="n">
        <x:f>IF('Setup'!$B$22&gt;0,"",'Demand'!A86)</x:f>
        <x:v>46380</x:v>
      </x:c>
      <x:c r="B86" s="1" t="n">
        <x:f>IF('Setup'!$B$22&gt;0,"",'Demand'!B86)</x:f>
        <x:v>12</x:v>
      </x:c>
      <x:c r="C86" s="1" t="n">
        <x:f>IF('Setup'!$B$22&gt;0,"",'Demand'!C86)</x:f>
        <x:v>1</x:v>
      </x:c>
      <x:c r="D86" s="24" t="n">
        <x:f>IF('Setup'!$B$22&gt;0,"",ROUND('Demand'!D86*'Setup'!B17,0))</x:f>
        <x:v>6500</x:v>
      </x:c>
      <x:c r="E86" s="24" t="n">
        <x:f>IF('Setup'!$B$22&gt;0,"",L85)</x:f>
        <x:v>118523</x:v>
      </x:c>
      <x:c r="F86" s="24" t="n">
        <x:f>IF('Setup'!$B$22&gt;0,"",D86+E86)</x:f>
        <x:v>125023</x:v>
      </x:c>
      <x:c r="G86" s="24" t="n">
        <x:f>IF('Setup'!$B$22&gt;0,"",'Capacity'!N39*C86)</x:f>
        <x:v>8372</x:v>
      </x:c>
      <x:c r="H86" s="24" t="n">
        <x:f>IF('Setup'!$B$22&gt;0,"",'Capacity'!N40*C86)</x:f>
        <x:v>7893</x:v>
      </x:c>
      <x:c r="I86" s="24" t="n">
        <x:f>IF('Setup'!$B$22&gt;0,"",'Capacity'!N41*C86)</x:f>
        <x:v>7774</x:v>
      </x:c>
      <x:c r="J86" s="24" t="n">
        <x:f>IF('Setup'!$B$22&gt;0,"",MIN(G86:I86))</x:f>
        <x:v>7774</x:v>
      </x:c>
      <x:c r="K86" s="24" t="n">
        <x:f>IF('Setup'!$B$22&gt;0,"",MIN(F86,J86))</x:f>
        <x:v>7774</x:v>
      </x:c>
      <x:c r="L86" s="24" t="n">
        <x:f>IF('Setup'!$B$22&gt;0,"",MAX(0,F86-K86))</x:f>
        <x:v>117249</x:v>
      </x:c>
      <x:c r="M86" s="23" t="n">
        <x:f>IF('Setup'!$B$22&gt;0,"",IF(J86=0,0,K86/J86))</x:f>
        <x:v>1</x:v>
      </x:c>
      <x:c r="N86" s="25" t="n">
        <x:f>IF('Setup'!$B$22&gt;0,"",SUM('Capacity'!Z39:Z41)*C86)</x:f>
        <x:v>11319.68</x:v>
      </x:c>
      <x:c r="O86" s="25" t="n">
        <x:f>IF('Setup'!$B$22&gt;0,"",SUM('Capacity'!Q39:Q41)*C86)</x:f>
        <x:v>1987.1999999999996</x:v>
      </x:c>
      <x:c r="P86" s="1" t="str">
        <x:f>IF('Setup'!$B$22&gt;0,"",IF(C86=0,"Closed",INDEX('Processes'!$A$6:$A$8,MATCH(J86,G86:I86,0))))</x:f>
        <x:v>Ship</x:v>
      </x:c>
      <x:c r="Q86" s="1" t="n">
        <x:f>IF('Setup'!$B$22&gt;0,"",IF(C86=0,0,MAX(0,ROUNDUP(F86/'Capacity'!X39-'Capacity'!Y39,0)-'Capacity'!G39)))</x:f>
        <x:v>391</x:v>
      </x:c>
      <x:c r="R86" s="1" t="n">
        <x:f>IF('Setup'!$B$22&gt;0,"",IF(C86=0,0,MAX(0,ROUNDUP(F86/'Capacity'!X40-'Capacity'!Y40,0)-'Capacity'!G40)))</x:f>
        <x:v>327</x:v>
      </x:c>
      <x:c r="S86" s="1" t="n">
        <x:f>IF('Setup'!$B$22&gt;0,"",IF(C86=0,0,MAX(0,ROUNDUP(F86/'Capacity'!X41-'Capacity'!Y41,0)-'Capacity'!G41)))</x:f>
        <x:v>197</x:v>
      </x:c>
      <x:c r="T86" s="1" t="str">
        <x:f>IF('Setup'!$B$22&gt;0,"",IF(C86=0,IF(L86&gt;'Setup'!$B$7,"Backlog on closed day","Closed"),IF(OR(V86&gt;0,W86&gt;0),"Resolve staffing limits",IF(U86&gt;0,"Resolve physical limit",IF(L86&gt;'Setup'!$B$7,"Close labor capacity gap",IF(L86&gt;0,"Backlog below threshold","Within daily capacity"))))))</x:f>
        <x:v>Resolve physical limit</x:v>
      </x:c>
      <x:c r="U86" s="1" t="n">
        <x:f>IF('Setup'!$B$22&gt;0,"",IF(C86=0,0,MAX(0,F86-INT(MIN('Capacity'!M39:M41)))))</x:f>
        <x:v>117023</x:v>
      </x:c>
      <x:c r="V86" s="1" t="n">
        <x:f>IF('Setup'!$B$22&gt;0,"",SUM('Capacity'!T39:T41)*C86)</x:f>
        <x:v>0</x:v>
      </x:c>
      <x:c r="W86" s="1" t="n">
        <x:f>IF('Setup'!$B$22&gt;0,"",SUM('Capacity'!W39:W41)*C86)</x:f>
        <x:v>0</x:v>
      </x:c>
    </x:row>
    <x:row r="87" ht="23" customHeight="1">
      <x:c r="A87" s="20" t="n">
        <x:f>IF('Setup'!$B$22&gt;0,"",'Demand'!A87)</x:f>
        <x:v>46381</x:v>
      </x:c>
      <x:c r="B87" s="1" t="n">
        <x:f>IF('Setup'!$B$22&gt;0,"",'Demand'!B87)</x:f>
        <x:v>12</x:v>
      </x:c>
      <x:c r="C87" s="1" t="n">
        <x:f>IF('Setup'!$B$22&gt;0,"",'Demand'!C87)</x:f>
        <x:v>1</x:v>
      </x:c>
      <x:c r="D87" s="24" t="n">
        <x:f>IF('Setup'!$B$22&gt;0,"",ROUND('Demand'!D87*'Setup'!B17,0))</x:f>
        <x:v>6500</x:v>
      </x:c>
      <x:c r="E87" s="24" t="n">
        <x:f>IF('Setup'!$B$22&gt;0,"",L86)</x:f>
        <x:v>117249</x:v>
      </x:c>
      <x:c r="F87" s="24" t="n">
        <x:f>IF('Setup'!$B$22&gt;0,"",D87+E87)</x:f>
        <x:v>123749</x:v>
      </x:c>
      <x:c r="G87" s="24" t="n">
        <x:f>IF('Setup'!$B$22&gt;0,"",'Capacity'!N39*C87)</x:f>
        <x:v>8372</x:v>
      </x:c>
      <x:c r="H87" s="24" t="n">
        <x:f>IF('Setup'!$B$22&gt;0,"",'Capacity'!N40*C87)</x:f>
        <x:v>7893</x:v>
      </x:c>
      <x:c r="I87" s="24" t="n">
        <x:f>IF('Setup'!$B$22&gt;0,"",'Capacity'!N41*C87)</x:f>
        <x:v>7774</x:v>
      </x:c>
      <x:c r="J87" s="24" t="n">
        <x:f>IF('Setup'!$B$22&gt;0,"",MIN(G87:I87))</x:f>
        <x:v>7774</x:v>
      </x:c>
      <x:c r="K87" s="24" t="n">
        <x:f>IF('Setup'!$B$22&gt;0,"",MIN(F87,J87))</x:f>
        <x:v>7774</x:v>
      </x:c>
      <x:c r="L87" s="24" t="n">
        <x:f>IF('Setup'!$B$22&gt;0,"",MAX(0,F87-K87))</x:f>
        <x:v>115975</x:v>
      </x:c>
      <x:c r="M87" s="23" t="n">
        <x:f>IF('Setup'!$B$22&gt;0,"",IF(J87=0,0,K87/J87))</x:f>
        <x:v>1</x:v>
      </x:c>
      <x:c r="N87" s="25" t="n">
        <x:f>IF('Setup'!$B$22&gt;0,"",SUM('Capacity'!Z39:Z41)*C87)</x:f>
        <x:v>11319.68</x:v>
      </x:c>
      <x:c r="O87" s="25" t="n">
        <x:f>IF('Setup'!$B$22&gt;0,"",SUM('Capacity'!Q39:Q41)*C87)</x:f>
        <x:v>1987.1999999999996</x:v>
      </x:c>
      <x:c r="P87" s="1" t="str">
        <x:f>IF('Setup'!$B$22&gt;0,"",IF(C87=0,"Closed",INDEX('Processes'!$A$6:$A$8,MATCH(J87,G87:I87,0))))</x:f>
        <x:v>Ship</x:v>
      </x:c>
      <x:c r="Q87" s="1" t="n">
        <x:f>IF('Setup'!$B$22&gt;0,"",IF(C87=0,0,MAX(0,ROUNDUP(F87/'Capacity'!X39-'Capacity'!Y39,0)-'Capacity'!G39)))</x:f>
        <x:v>386</x:v>
      </x:c>
      <x:c r="R87" s="1" t="n">
        <x:f>IF('Setup'!$B$22&gt;0,"",IF(C87=0,0,MAX(0,ROUNDUP(F87/'Capacity'!X40-'Capacity'!Y40,0)-'Capacity'!G40)))</x:f>
        <x:v>323</x:v>
      </x:c>
      <x:c r="S87" s="1" t="n">
        <x:f>IF('Setup'!$B$22&gt;0,"",IF(C87=0,0,MAX(0,ROUNDUP(F87/'Capacity'!X41-'Capacity'!Y41,0)-'Capacity'!G41)))</x:f>
        <x:v>194</x:v>
      </x:c>
      <x:c r="T87" s="1" t="str">
        <x:f>IF('Setup'!$B$22&gt;0,"",IF(C87=0,IF(L87&gt;'Setup'!$B$7,"Backlog on closed day","Closed"),IF(OR(V87&gt;0,W87&gt;0),"Resolve staffing limits",IF(U87&gt;0,"Resolve physical limit",IF(L87&gt;'Setup'!$B$7,"Close labor capacity gap",IF(L87&gt;0,"Backlog below threshold","Within daily capacity"))))))</x:f>
        <x:v>Resolve physical limit</x:v>
      </x:c>
      <x:c r="U87" s="1" t="n">
        <x:f>IF('Setup'!$B$22&gt;0,"",IF(C87=0,0,MAX(0,F87-INT(MIN('Capacity'!M39:M41)))))</x:f>
        <x:v>115749</x:v>
      </x:c>
      <x:c r="V87" s="1" t="n">
        <x:f>IF('Setup'!$B$22&gt;0,"",SUM('Capacity'!T39:T41)*C87)</x:f>
        <x:v>0</x:v>
      </x:c>
      <x:c r="W87" s="1" t="n">
        <x:f>IF('Setup'!$B$22&gt;0,"",SUM('Capacity'!W39:W41)*C87)</x:f>
        <x:v>0</x:v>
      </x:c>
    </x:row>
    <x:row r="88" ht="23" customHeight="1">
      <x:c r="A88" s="20" t="n">
        <x:f>IF('Setup'!$B$22&gt;0,"",'Demand'!A88)</x:f>
        <x:v>46382</x:v>
      </x:c>
      <x:c r="B88" s="1" t="n">
        <x:f>IF('Setup'!$B$22&gt;0,"",'Demand'!B88)</x:f>
        <x:v>12</x:v>
      </x:c>
      <x:c r="C88" s="1" t="n">
        <x:f>IF('Setup'!$B$22&gt;0,"",'Demand'!C88)</x:f>
        <x:v>0</x:v>
      </x:c>
      <x:c r="D88" s="24" t="n">
        <x:f>IF('Setup'!$B$22&gt;0,"",ROUND('Demand'!D88*'Setup'!B17,0))</x:f>
        <x:v>0</x:v>
      </x:c>
      <x:c r="E88" s="24" t="n">
        <x:f>IF('Setup'!$B$22&gt;0,"",L87)</x:f>
        <x:v>115975</x:v>
      </x:c>
      <x:c r="F88" s="24" t="n">
        <x:f>IF('Setup'!$B$22&gt;0,"",D88+E88)</x:f>
        <x:v>115975</x:v>
      </x:c>
      <x:c r="G88" s="24" t="n">
        <x:f>IF('Setup'!$B$22&gt;0,"",'Capacity'!N39*C88)</x:f>
        <x:v>0</x:v>
      </x:c>
      <x:c r="H88" s="24" t="n">
        <x:f>IF('Setup'!$B$22&gt;0,"",'Capacity'!N40*C88)</x:f>
        <x:v>0</x:v>
      </x:c>
      <x:c r="I88" s="24" t="n">
        <x:f>IF('Setup'!$B$22&gt;0,"",'Capacity'!N41*C88)</x:f>
        <x:v>0</x:v>
      </x:c>
      <x:c r="J88" s="24" t="n">
        <x:f>IF('Setup'!$B$22&gt;0,"",MIN(G88:I88))</x:f>
        <x:v>0</x:v>
      </x:c>
      <x:c r="K88" s="24" t="n">
        <x:f>IF('Setup'!$B$22&gt;0,"",MIN(F88,J88))</x:f>
        <x:v>0</x:v>
      </x:c>
      <x:c r="L88" s="24" t="n">
        <x:f>IF('Setup'!$B$22&gt;0,"",MAX(0,F88-K88))</x:f>
        <x:v>115975</x:v>
      </x:c>
      <x:c r="M88" s="23" t="n">
        <x:f>IF('Setup'!$B$22&gt;0,"",IF(J88=0,0,K88/J88))</x:f>
        <x:v>0</x:v>
      </x:c>
      <x:c r="N88" s="25" t="n">
        <x:f>IF('Setup'!$B$22&gt;0,"",SUM('Capacity'!Z39:Z41)*C88)</x:f>
        <x:v>0</x:v>
      </x:c>
      <x:c r="O88" s="25" t="n">
        <x:f>IF('Setup'!$B$22&gt;0,"",SUM('Capacity'!Q39:Q41)*C88)</x:f>
        <x:v>0</x:v>
      </x:c>
      <x:c r="P88" s="1" t="str">
        <x:f>IF('Setup'!$B$22&gt;0,"",IF(C88=0,"Closed",INDEX('Processes'!$A$6:$A$8,MATCH(J88,G88:I88,0))))</x:f>
        <x:v>Closed</x:v>
      </x:c>
      <x:c r="Q88" s="1" t="n">
        <x:f>IF('Setup'!$B$22&gt;0,"",IF(C88=0,0,MAX(0,ROUNDUP(F88/'Capacity'!X39-'Capacity'!Y39,0)-'Capacity'!G39)))</x:f>
        <x:v>0</x:v>
      </x:c>
      <x:c r="R88" s="1" t="n">
        <x:f>IF('Setup'!$B$22&gt;0,"",IF(C88=0,0,MAX(0,ROUNDUP(F88/'Capacity'!X40-'Capacity'!Y40,0)-'Capacity'!G40)))</x:f>
        <x:v>0</x:v>
      </x:c>
      <x:c r="S88" s="1" t="n">
        <x:f>IF('Setup'!$B$22&gt;0,"",IF(C88=0,0,MAX(0,ROUNDUP(F88/'Capacity'!X41-'Capacity'!Y41,0)-'Capacity'!G41)))</x:f>
        <x:v>0</x:v>
      </x:c>
      <x:c r="T88" s="1" t="str">
        <x:f>IF('Setup'!$B$22&gt;0,"",IF(C88=0,IF(L88&gt;'Setup'!$B$7,"Backlog on closed day","Closed"),IF(OR(V88&gt;0,W88&gt;0),"Resolve staffing limits",IF(U88&gt;0,"Resolve physical limit",IF(L88&gt;'Setup'!$B$7,"Close labor capacity gap",IF(L88&gt;0,"Backlog below threshold","Within daily capacity"))))))</x:f>
        <x:v>Backlog on closed day</x:v>
      </x:c>
      <x:c r="U88" s="1" t="n">
        <x:f>IF('Setup'!$B$22&gt;0,"",IF(C88=0,0,MAX(0,F88-INT(MIN('Capacity'!M39:M41)))))</x:f>
        <x:v>0</x:v>
      </x:c>
      <x:c r="V88" s="1" t="n">
        <x:f>IF('Setup'!$B$22&gt;0,"",SUM('Capacity'!T39:T41)*C88)</x:f>
        <x:v>0</x:v>
      </x:c>
      <x:c r="W88" s="1" t="n">
        <x:f>IF('Setup'!$B$22&gt;0,"",SUM('Capacity'!W39:W41)*C88)</x:f>
        <x:v>0</x:v>
      </x:c>
    </x:row>
    <x:row r="89" ht="23" customHeight="1">
      <x:c r="A89" s="20" t="n">
        <x:f>IF('Setup'!$B$22&gt;0,"",'Demand'!A89)</x:f>
        <x:v>46383</x:v>
      </x:c>
      <x:c r="B89" s="1" t="n">
        <x:f>IF('Setup'!$B$22&gt;0,"",'Demand'!B89)</x:f>
        <x:v>12</x:v>
      </x:c>
      <x:c r="C89" s="1" t="n">
        <x:f>IF('Setup'!$B$22&gt;0,"",'Demand'!C89)</x:f>
        <x:v>0</x:v>
      </x:c>
      <x:c r="D89" s="24" t="n">
        <x:f>IF('Setup'!$B$22&gt;0,"",ROUND('Demand'!D89*'Setup'!B17,0))</x:f>
        <x:v>0</x:v>
      </x:c>
      <x:c r="E89" s="24" t="n">
        <x:f>IF('Setup'!$B$22&gt;0,"",L88)</x:f>
        <x:v>115975</x:v>
      </x:c>
      <x:c r="F89" s="24" t="n">
        <x:f>IF('Setup'!$B$22&gt;0,"",D89+E89)</x:f>
        <x:v>115975</x:v>
      </x:c>
      <x:c r="G89" s="24" t="n">
        <x:f>IF('Setup'!$B$22&gt;0,"",'Capacity'!N39*C89)</x:f>
        <x:v>0</x:v>
      </x:c>
      <x:c r="H89" s="24" t="n">
        <x:f>IF('Setup'!$B$22&gt;0,"",'Capacity'!N40*C89)</x:f>
        <x:v>0</x:v>
      </x:c>
      <x:c r="I89" s="24" t="n">
        <x:f>IF('Setup'!$B$22&gt;0,"",'Capacity'!N41*C89)</x:f>
        <x:v>0</x:v>
      </x:c>
      <x:c r="J89" s="24" t="n">
        <x:f>IF('Setup'!$B$22&gt;0,"",MIN(G89:I89))</x:f>
        <x:v>0</x:v>
      </x:c>
      <x:c r="K89" s="24" t="n">
        <x:f>IF('Setup'!$B$22&gt;0,"",MIN(F89,J89))</x:f>
        <x:v>0</x:v>
      </x:c>
      <x:c r="L89" s="24" t="n">
        <x:f>IF('Setup'!$B$22&gt;0,"",MAX(0,F89-K89))</x:f>
        <x:v>115975</x:v>
      </x:c>
      <x:c r="M89" s="23" t="n">
        <x:f>IF('Setup'!$B$22&gt;0,"",IF(J89=0,0,K89/J89))</x:f>
        <x:v>0</x:v>
      </x:c>
      <x:c r="N89" s="25" t="n">
        <x:f>IF('Setup'!$B$22&gt;0,"",SUM('Capacity'!Z39:Z41)*C89)</x:f>
        <x:v>0</x:v>
      </x:c>
      <x:c r="O89" s="25" t="n">
        <x:f>IF('Setup'!$B$22&gt;0,"",SUM('Capacity'!Q39:Q41)*C89)</x:f>
        <x:v>0</x:v>
      </x:c>
      <x:c r="P89" s="1" t="str">
        <x:f>IF('Setup'!$B$22&gt;0,"",IF(C89=0,"Closed",INDEX('Processes'!$A$6:$A$8,MATCH(J89,G89:I89,0))))</x:f>
        <x:v>Closed</x:v>
      </x:c>
      <x:c r="Q89" s="1" t="n">
        <x:f>IF('Setup'!$B$22&gt;0,"",IF(C89=0,0,MAX(0,ROUNDUP(F89/'Capacity'!X39-'Capacity'!Y39,0)-'Capacity'!G39)))</x:f>
        <x:v>0</x:v>
      </x:c>
      <x:c r="R89" s="1" t="n">
        <x:f>IF('Setup'!$B$22&gt;0,"",IF(C89=0,0,MAX(0,ROUNDUP(F89/'Capacity'!X40-'Capacity'!Y40,0)-'Capacity'!G40)))</x:f>
        <x:v>0</x:v>
      </x:c>
      <x:c r="S89" s="1" t="n">
        <x:f>IF('Setup'!$B$22&gt;0,"",IF(C89=0,0,MAX(0,ROUNDUP(F89/'Capacity'!X41-'Capacity'!Y41,0)-'Capacity'!G41)))</x:f>
        <x:v>0</x:v>
      </x:c>
      <x:c r="T89" s="1" t="str">
        <x:f>IF('Setup'!$B$22&gt;0,"",IF(C89=0,IF(L89&gt;'Setup'!$B$7,"Backlog on closed day","Closed"),IF(OR(V89&gt;0,W89&gt;0),"Resolve staffing limits",IF(U89&gt;0,"Resolve physical limit",IF(L89&gt;'Setup'!$B$7,"Close labor capacity gap",IF(L89&gt;0,"Backlog below threshold","Within daily capacity"))))))</x:f>
        <x:v>Backlog on closed day</x:v>
      </x:c>
      <x:c r="U89" s="1" t="n">
        <x:f>IF('Setup'!$B$22&gt;0,"",IF(C89=0,0,MAX(0,F89-INT(MIN('Capacity'!M39:M41)))))</x:f>
        <x:v>0</x:v>
      </x:c>
      <x:c r="V89" s="1" t="n">
        <x:f>IF('Setup'!$B$22&gt;0,"",SUM('Capacity'!T39:T41)*C89)</x:f>
        <x:v>0</x:v>
      </x:c>
      <x:c r="W89" s="1" t="n">
        <x:f>IF('Setup'!$B$22&gt;0,"",SUM('Capacity'!W39:W41)*C89)</x:f>
        <x:v>0</x:v>
      </x:c>
    </x:row>
    <x:row r="90" ht="23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 ht="23" customHeight="1">
      <x:c r="A91" s="1" t="str">
        <x:v>Extra trained heads are a same-day arithmetic gap at the current OT setting. They ignore recruiting lead time and can exceed workstation or physical limits.</x:v>
      </x:c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 ht="23" customHeight="1">
      <x:c r="A92" s="1" t="str">
        <x:v>When constraints tie, Limiting stage shows the first stage. Capacity used is completions divided by modeled flow capacity; closed/zero-capacity days display 0%.</x:v>
      </x:c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 ht="23" customHeight="1">
      <x:c r="A93" s="1" t="str">
        <x:v>Fractional expected attendance is used for planning. Capacity is floored to whole orders per stage per day; this is not a labor roster or shipment promise.</x:v>
      </x:c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 ht="23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 ht="23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</x:sheetData>
  <x:conditionalFormatting sqref="L6:L89">
    <x:cfRule type="cellIs" dxfId="6" priority="1" operator="greaterThan">
      <x:formula>0</x:formula>
    </x:cfRule>
  </x:conditionalFormatting>
  <x:conditionalFormatting sqref="U6:W89">
    <x:cfRule type="cellIs" dxfId="7" priority="2" operator="greaterThan">
      <x:formula>0</x:formula>
    </x:cfRule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1" hidden="0" customWidth="1"/>
    <x:col min="2" max="2" width="9" hidden="0" customWidth="1"/>
    <x:col min="3" max="3" width="9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30" hidden="0" customWidth="1"/>
    <x:col min="21" max="21" width="17" hidden="0" customWidth="1"/>
    <x:col min="22" max="22" width="17" hidden="0" customWidth="1"/>
    <x:col min="23" max="23" width="17" hidden="0" customWidth="1"/>
  </x:cols>
  <x:sheetData>
    <x:row r="1" ht="31" customHeight="1">
      <x:c r="A1" s="2" t="str">
        <x:v>Upside daily plan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 t="str">
        <x:v>Formula outputs. Order backlog covers released orders still requiring the full three-stage flow.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  <x:c r="W3" s="4"/>
    </x:row>
    <x:row r="4" ht="23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58" customHeight="1">
      <x:c r="A5" s="8" t="str">
        <x:v>Date</x:v>
      </x:c>
      <x:c r="B5" s="8" t="str">
        <x:v>Week</x:v>
      </x:c>
      <x:c r="C5" s="8" t="str">
        <x:v>Open</x:v>
      </x:c>
      <x:c r="D5" s="8" t="str">
        <x:v>Orders released</x:v>
      </x:c>
      <x:c r="E5" s="8" t="str">
        <x:v>Opening backlog</x:v>
      </x:c>
      <x:c r="F5" s="8" t="str">
        <x:v>Orders available</x:v>
      </x:c>
      <x:c r="G5" s="8" t="str">
        <x:v>Pick capacity</x:v>
      </x:c>
      <x:c r="H5" s="8" t="str">
        <x:v>Pack capacity</x:v>
      </x:c>
      <x:c r="I5" s="8" t="str">
        <x:v>Ship capacity</x:v>
      </x:c>
      <x:c r="J5" s="8" t="str">
        <x:v>Flow capacity</x:v>
      </x:c>
      <x:c r="K5" s="8" t="str">
        <x:v>Orders completed</x:v>
      </x:c>
      <x:c r="L5" s="8" t="str">
        <x:v>Closing backlog</x:v>
      </x:c>
      <x:c r="M5" s="8" t="str">
        <x:v>Capacity used</x:v>
      </x:c>
      <x:c r="N5" s="8" t="str">
        <x:v>Labor cost ($)</x:v>
      </x:c>
      <x:c r="O5" s="8" t="str">
        <x:v>Incremental
cost ($)</x:v>
      </x:c>
      <x:c r="P5" s="8" t="str">
        <x:v>Limiting stage</x:v>
      </x:c>
      <x:c r="Q5" s="8" t="str">
        <x:v>Pick extra
trained</x:v>
      </x:c>
      <x:c r="R5" s="8" t="str">
        <x:v>Pack extra
trained</x:v>
      </x:c>
      <x:c r="S5" s="8" t="str">
        <x:v>Ship extra
trained</x:v>
      </x:c>
      <x:c r="T5" s="8" t="str">
        <x:v>Action</x:v>
      </x:c>
      <x:c r="U5" s="8" t="str">
        <x:v>Physical shortfall</x:v>
      </x:c>
      <x:c r="V5" s="8" t="str">
        <x:v>Unplaced heads</x:v>
      </x:c>
      <x:c r="W5" s="8" t="str">
        <x:v>OT over limit</x:v>
      </x:c>
    </x:row>
    <x:row r="6" ht="23" customHeight="1">
      <x:c r="A6" s="20" t="n">
        <x:f>IF('Setup'!$B$22&gt;0,"",'Demand'!A6)</x:f>
        <x:v>46300</x:v>
      </x:c>
      <x:c r="B6" s="1" t="n">
        <x:f>IF('Setup'!$B$22&gt;0,"",'Demand'!B6)</x:f>
        <x:v>1</x:v>
      </x:c>
      <x:c r="C6" s="1" t="n">
        <x:f>IF('Setup'!$B$22&gt;0,"",'Demand'!C6)</x:f>
        <x:v>1</x:v>
      </x:c>
      <x:c r="D6" s="24" t="n">
        <x:f>IF('Setup'!$B$22&gt;0,"",ROUND('Demand'!D6*'Setup'!B18,0))</x:f>
        <x:v>7800</x:v>
      </x:c>
      <x:c r="E6" s="24" t="n">
        <x:f>IF('Setup'!$B$22&gt;0,"",'Setup'!$B$6)</x:f>
        <x:v>0</x:v>
      </x:c>
      <x:c r="F6" s="24" t="n">
        <x:f>IF('Setup'!$B$22&gt;0,"",D6+E6)</x:f>
        <x:v>7800</x:v>
      </x:c>
      <x:c r="G6" s="24" t="n">
        <x:f>IF('Setup'!$B$22&gt;0,"",'Capacity'!N42*C6)</x:f>
        <x:v>7176</x:v>
      </x:c>
      <x:c r="H6" s="24" t="n">
        <x:f>IF('Setup'!$B$22&gt;0,"",'Capacity'!N43*C6)</x:f>
        <x:v>6458</x:v>
      </x:c>
      <x:c r="I6" s="24" t="n">
        <x:f>IF('Setup'!$B$22&gt;0,"",'Capacity'!N44*C6)</x:f>
        <x:v>5980</x:v>
      </x:c>
      <x:c r="J6" s="24" t="n">
        <x:f>IF('Setup'!$B$22&gt;0,"",MIN(G6:I6))</x:f>
        <x:v>5980</x:v>
      </x:c>
      <x:c r="K6" s="24" t="n">
        <x:f>IF('Setup'!$B$22&gt;0,"",MIN(F6,J6))</x:f>
        <x:v>5980</x:v>
      </x:c>
      <x:c r="L6" s="24" t="n">
        <x:f>IF('Setup'!$B$22&gt;0,"",MAX(0,F6-K6))</x:f>
        <x:v>1820</x:v>
      </x:c>
      <x:c r="M6" s="23" t="n">
        <x:f>IF('Setup'!$B$22&gt;0,"",IF(J6=0,0,K6/J6))</x:f>
        <x:v>1</x:v>
      </x:c>
      <x:c r="N6" s="25" t="n">
        <x:f>IF('Setup'!$B$22&gt;0,"",SUM('Capacity'!Z42:Z44)*C6)</x:f>
        <x:v>9332.480000000001</x:v>
      </x:c>
      <x:c r="O6" s="25" t="n">
        <x:f>IF('Setup'!$B$22&gt;0,"",SUM('Capacity'!Q42:Q44)*C6)</x:f>
        <x:v>0</x:v>
      </x:c>
      <x:c r="P6" s="1" t="str">
        <x:f>IF('Setup'!$B$22&gt;0,"",IF(C6=0,"Closed",INDEX('Processes'!$A$6:$A$8,MATCH(J6,G6:I6,0))))</x:f>
        <x:v>Ship</x:v>
      </x:c>
      <x:c r="Q6" s="1" t="n">
        <x:f>IF('Setup'!$B$22&gt;0,"",IF(C6=0,0,MAX(0,ROUNDUP(F6/'Capacity'!X42-'Capacity'!Y42,0)-'Capacity'!G42)))</x:f>
        <x:v>3</x:v>
      </x:c>
      <x:c r="R6" s="1" t="n">
        <x:f>IF('Setup'!$B$22&gt;0,"",IF(C6=0,0,MAX(0,ROUNDUP(F6/'Capacity'!X43-'Capacity'!Y43,0)-'Capacity'!G43)))</x:f>
        <x:v>4</x:v>
      </x:c>
      <x:c r="S6" s="1" t="n">
        <x:f>IF('Setup'!$B$22&gt;0,"",IF(C6=0,0,MAX(0,ROUNDUP(F6/'Capacity'!X44-'Capacity'!Y44,0)-'Capacity'!G44)))</x:f>
        <x:v>4</x:v>
      </x:c>
      <x:c r="T6" s="1" t="str">
        <x:f>IF('Setup'!$B$22&gt;0,"",IF(C6=0,IF(L6&gt;'Setup'!$B$7,"Backlog on closed day","Closed"),IF(OR(V6&gt;0,W6&gt;0),"Resolve staffing limits",IF(U6&gt;0,"Resolve physical limit",IF(L6&gt;'Setup'!$B$7,"Close labor capacity gap",IF(L6&gt;0,"Backlog below threshold","Within daily capacity"))))))</x:f>
        <x:v>Close labor capacity gap</x:v>
      </x:c>
      <x:c r="U6" s="1" t="n">
        <x:f>IF('Setup'!$B$22&gt;0,"",IF(C6=0,0,MAX(0,F6-INT(MIN('Capacity'!M42:M44)))))</x:f>
        <x:v>0</x:v>
      </x:c>
      <x:c r="V6" s="1" t="n">
        <x:f>IF('Setup'!$B$22&gt;0,"",SUM('Capacity'!T42:T44)*C6)</x:f>
        <x:v>0</x:v>
      </x:c>
      <x:c r="W6" s="1" t="n">
        <x:f>IF('Setup'!$B$22&gt;0,"",SUM('Capacity'!W42:W44)*C6)</x:f>
        <x:v>0</x:v>
      </x:c>
    </x:row>
    <x:row r="7" ht="23" customHeight="1">
      <x:c r="A7" s="20" t="n">
        <x:f>IF('Setup'!$B$22&gt;0,"",'Demand'!A7)</x:f>
        <x:v>46301</x:v>
      </x:c>
      <x:c r="B7" s="1" t="n">
        <x:f>IF('Setup'!$B$22&gt;0,"",'Demand'!B7)</x:f>
        <x:v>1</x:v>
      </x:c>
      <x:c r="C7" s="1" t="n">
        <x:f>IF('Setup'!$B$22&gt;0,"",'Demand'!C7)</x:f>
        <x:v>1</x:v>
      </x:c>
      <x:c r="D7" s="24" t="n">
        <x:f>IF('Setup'!$B$22&gt;0,"",ROUND('Demand'!D7*'Setup'!B18,0))</x:f>
        <x:v>7800</x:v>
      </x:c>
      <x:c r="E7" s="24" t="n">
        <x:f>IF('Setup'!$B$22&gt;0,"",L6)</x:f>
        <x:v>1820</x:v>
      </x:c>
      <x:c r="F7" s="24" t="n">
        <x:f>IF('Setup'!$B$22&gt;0,"",D7+E7)</x:f>
        <x:v>9620</x:v>
      </x:c>
      <x:c r="G7" s="24" t="n">
        <x:f>IF('Setup'!$B$22&gt;0,"",'Capacity'!N42*C7)</x:f>
        <x:v>7176</x:v>
      </x:c>
      <x:c r="H7" s="24" t="n">
        <x:f>IF('Setup'!$B$22&gt;0,"",'Capacity'!N43*C7)</x:f>
        <x:v>6458</x:v>
      </x:c>
      <x:c r="I7" s="24" t="n">
        <x:f>IF('Setup'!$B$22&gt;0,"",'Capacity'!N44*C7)</x:f>
        <x:v>5980</x:v>
      </x:c>
      <x:c r="J7" s="24" t="n">
        <x:f>IF('Setup'!$B$22&gt;0,"",MIN(G7:I7))</x:f>
        <x:v>5980</x:v>
      </x:c>
      <x:c r="K7" s="24" t="n">
        <x:f>IF('Setup'!$B$22&gt;0,"",MIN(F7,J7))</x:f>
        <x:v>5980</x:v>
      </x:c>
      <x:c r="L7" s="24" t="n">
        <x:f>IF('Setup'!$B$22&gt;0,"",MAX(0,F7-K7))</x:f>
        <x:v>3640</x:v>
      </x:c>
      <x:c r="M7" s="23" t="n">
        <x:f>IF('Setup'!$B$22&gt;0,"",IF(J7=0,0,K7/J7))</x:f>
        <x:v>1</x:v>
      </x:c>
      <x:c r="N7" s="25" t="n">
        <x:f>IF('Setup'!$B$22&gt;0,"",SUM('Capacity'!Z42:Z44)*C7)</x:f>
        <x:v>9332.480000000001</x:v>
      </x:c>
      <x:c r="O7" s="25" t="n">
        <x:f>IF('Setup'!$B$22&gt;0,"",SUM('Capacity'!Q42:Q44)*C7)</x:f>
        <x:v>0</x:v>
      </x:c>
      <x:c r="P7" s="1" t="str">
        <x:f>IF('Setup'!$B$22&gt;0,"",IF(C7=0,"Closed",INDEX('Processes'!$A$6:$A$8,MATCH(J7,G7:I7,0))))</x:f>
        <x:v>Ship</x:v>
      </x:c>
      <x:c r="Q7" s="1" t="n">
        <x:f>IF('Setup'!$B$22&gt;0,"",IF(C7=0,0,MAX(0,ROUNDUP(F7/'Capacity'!X42-'Capacity'!Y42,0)-'Capacity'!G42)))</x:f>
        <x:v>9</x:v>
      </x:c>
      <x:c r="R7" s="1" t="n">
        <x:f>IF('Setup'!$B$22&gt;0,"",IF(C7=0,0,MAX(0,ROUNDUP(F7/'Capacity'!X43-'Capacity'!Y43,0)-'Capacity'!G43)))</x:f>
        <x:v>9</x:v>
      </x:c>
      <x:c r="S7" s="1" t="n">
        <x:f>IF('Setup'!$B$22&gt;0,"",IF(C7=0,0,MAX(0,ROUNDUP(F7/'Capacity'!X44-'Capacity'!Y44,0)-'Capacity'!G44)))</x:f>
        <x:v>7</x:v>
      </x:c>
      <x:c r="T7" s="1" t="str">
        <x:f>IF('Setup'!$B$22&gt;0,"",IF(C7=0,IF(L7&gt;'Setup'!$B$7,"Backlog on closed day","Closed"),IF(OR(V7&gt;0,W7&gt;0),"Resolve staffing limits",IF(U7&gt;0,"Resolve physical limit",IF(L7&gt;'Setup'!$B$7,"Close labor capacity gap",IF(L7&gt;0,"Backlog below threshold","Within daily capacity"))))))</x:f>
        <x:v>Resolve physical limit</x:v>
      </x:c>
      <x:c r="U7" s="1" t="n">
        <x:f>IF('Setup'!$B$22&gt;0,"",IF(C7=0,0,MAX(0,F7-INT(MIN('Capacity'!M42:M44)))))</x:f>
        <x:v>1620</x:v>
      </x:c>
      <x:c r="V7" s="1" t="n">
        <x:f>IF('Setup'!$B$22&gt;0,"",SUM('Capacity'!T42:T44)*C7)</x:f>
        <x:v>0</x:v>
      </x:c>
      <x:c r="W7" s="1" t="n">
        <x:f>IF('Setup'!$B$22&gt;0,"",SUM('Capacity'!W42:W44)*C7)</x:f>
        <x:v>0</x:v>
      </x:c>
    </x:row>
    <x:row r="8" ht="23" customHeight="1">
      <x:c r="A8" s="20" t="n">
        <x:f>IF('Setup'!$B$22&gt;0,"",'Demand'!A8)</x:f>
        <x:v>46302</x:v>
      </x:c>
      <x:c r="B8" s="1" t="n">
        <x:f>IF('Setup'!$B$22&gt;0,"",'Demand'!B8)</x:f>
        <x:v>1</x:v>
      </x:c>
      <x:c r="C8" s="1" t="n">
        <x:f>IF('Setup'!$B$22&gt;0,"",'Demand'!C8)</x:f>
        <x:v>1</x:v>
      </x:c>
      <x:c r="D8" s="24" t="n">
        <x:f>IF('Setup'!$B$22&gt;0,"",ROUND('Demand'!D8*'Setup'!B18,0))</x:f>
        <x:v>7800</x:v>
      </x:c>
      <x:c r="E8" s="24" t="n">
        <x:f>IF('Setup'!$B$22&gt;0,"",L7)</x:f>
        <x:v>3640</x:v>
      </x:c>
      <x:c r="F8" s="24" t="n">
        <x:f>IF('Setup'!$B$22&gt;0,"",D8+E8)</x:f>
        <x:v>11440</x:v>
      </x:c>
      <x:c r="G8" s="24" t="n">
        <x:f>IF('Setup'!$B$22&gt;0,"",'Capacity'!N42*C8)</x:f>
        <x:v>7176</x:v>
      </x:c>
      <x:c r="H8" s="24" t="n">
        <x:f>IF('Setup'!$B$22&gt;0,"",'Capacity'!N43*C8)</x:f>
        <x:v>6458</x:v>
      </x:c>
      <x:c r="I8" s="24" t="n">
        <x:f>IF('Setup'!$B$22&gt;0,"",'Capacity'!N44*C8)</x:f>
        <x:v>5980</x:v>
      </x:c>
      <x:c r="J8" s="24" t="n">
        <x:f>IF('Setup'!$B$22&gt;0,"",MIN(G8:I8))</x:f>
        <x:v>5980</x:v>
      </x:c>
      <x:c r="K8" s="24" t="n">
        <x:f>IF('Setup'!$B$22&gt;0,"",MIN(F8,J8))</x:f>
        <x:v>5980</x:v>
      </x:c>
      <x:c r="L8" s="24" t="n">
        <x:f>IF('Setup'!$B$22&gt;0,"",MAX(0,F8-K8))</x:f>
        <x:v>5460</x:v>
      </x:c>
      <x:c r="M8" s="23" t="n">
        <x:f>IF('Setup'!$B$22&gt;0,"",IF(J8=0,0,K8/J8))</x:f>
        <x:v>1</x:v>
      </x:c>
      <x:c r="N8" s="25" t="n">
        <x:f>IF('Setup'!$B$22&gt;0,"",SUM('Capacity'!Z42:Z44)*C8)</x:f>
        <x:v>9332.480000000001</x:v>
      </x:c>
      <x:c r="O8" s="25" t="n">
        <x:f>IF('Setup'!$B$22&gt;0,"",SUM('Capacity'!Q42:Q44)*C8)</x:f>
        <x:v>0</x:v>
      </x:c>
      <x:c r="P8" s="1" t="str">
        <x:f>IF('Setup'!$B$22&gt;0,"",IF(C8=0,"Closed",INDEX('Processes'!$A$6:$A$8,MATCH(J8,G8:I8,0))))</x:f>
        <x:v>Ship</x:v>
      </x:c>
      <x:c r="Q8" s="1" t="n">
        <x:f>IF('Setup'!$B$22&gt;0,"",IF(C8=0,0,MAX(0,ROUNDUP(F8/'Capacity'!X42-'Capacity'!Y42,0)-'Capacity'!G42)))</x:f>
        <x:v>15</x:v>
      </x:c>
      <x:c r="R8" s="1" t="n">
        <x:f>IF('Setup'!$B$22&gt;0,"",IF(C8=0,0,MAX(0,ROUNDUP(F8/'Capacity'!X43-'Capacity'!Y43,0)-'Capacity'!G43)))</x:f>
        <x:v>14</x:v>
      </x:c>
      <x:c r="S8" s="1" t="n">
        <x:f>IF('Setup'!$B$22&gt;0,"",IF(C8=0,0,MAX(0,ROUNDUP(F8/'Capacity'!X44-'Capacity'!Y44,0)-'Capacity'!G44)))</x:f>
        <x:v>10</x:v>
      </x:c>
      <x:c r="T8" s="1" t="str">
        <x:f>IF('Setup'!$B$22&gt;0,"",IF(C8=0,IF(L8&gt;'Setup'!$B$7,"Backlog on closed day","Closed"),IF(OR(V8&gt;0,W8&gt;0),"Resolve staffing limits",IF(U8&gt;0,"Resolve physical limit",IF(L8&gt;'Setup'!$B$7,"Close labor capacity gap",IF(L8&gt;0,"Backlog below threshold","Within daily capacity"))))))</x:f>
        <x:v>Resolve physical limit</x:v>
      </x:c>
      <x:c r="U8" s="1" t="n">
        <x:f>IF('Setup'!$B$22&gt;0,"",IF(C8=0,0,MAX(0,F8-INT(MIN('Capacity'!M42:M44)))))</x:f>
        <x:v>3440</x:v>
      </x:c>
      <x:c r="V8" s="1" t="n">
        <x:f>IF('Setup'!$B$22&gt;0,"",SUM('Capacity'!T42:T44)*C8)</x:f>
        <x:v>0</x:v>
      </x:c>
      <x:c r="W8" s="1" t="n">
        <x:f>IF('Setup'!$B$22&gt;0,"",SUM('Capacity'!W42:W44)*C8)</x:f>
        <x:v>0</x:v>
      </x:c>
    </x:row>
    <x:row r="9" ht="23" customHeight="1">
      <x:c r="A9" s="20" t="n">
        <x:f>IF('Setup'!$B$22&gt;0,"",'Demand'!A9)</x:f>
        <x:v>46303</x:v>
      </x:c>
      <x:c r="B9" s="1" t="n">
        <x:f>IF('Setup'!$B$22&gt;0,"",'Demand'!B9)</x:f>
        <x:v>1</x:v>
      </x:c>
      <x:c r="C9" s="1" t="n">
        <x:f>IF('Setup'!$B$22&gt;0,"",'Demand'!C9)</x:f>
        <x:v>1</x:v>
      </x:c>
      <x:c r="D9" s="24" t="n">
        <x:f>IF('Setup'!$B$22&gt;0,"",ROUND('Demand'!D9*'Setup'!B18,0))</x:f>
        <x:v>7800</x:v>
      </x:c>
      <x:c r="E9" s="24" t="n">
        <x:f>IF('Setup'!$B$22&gt;0,"",L8)</x:f>
        <x:v>5460</x:v>
      </x:c>
      <x:c r="F9" s="24" t="n">
        <x:f>IF('Setup'!$B$22&gt;0,"",D9+E9)</x:f>
        <x:v>13260</x:v>
      </x:c>
      <x:c r="G9" s="24" t="n">
        <x:f>IF('Setup'!$B$22&gt;0,"",'Capacity'!N42*C9)</x:f>
        <x:v>7176</x:v>
      </x:c>
      <x:c r="H9" s="24" t="n">
        <x:f>IF('Setup'!$B$22&gt;0,"",'Capacity'!N43*C9)</x:f>
        <x:v>6458</x:v>
      </x:c>
      <x:c r="I9" s="24" t="n">
        <x:f>IF('Setup'!$B$22&gt;0,"",'Capacity'!N44*C9)</x:f>
        <x:v>5980</x:v>
      </x:c>
      <x:c r="J9" s="24" t="n">
        <x:f>IF('Setup'!$B$22&gt;0,"",MIN(G9:I9))</x:f>
        <x:v>5980</x:v>
      </x:c>
      <x:c r="K9" s="24" t="n">
        <x:f>IF('Setup'!$B$22&gt;0,"",MIN(F9,J9))</x:f>
        <x:v>5980</x:v>
      </x:c>
      <x:c r="L9" s="24" t="n">
        <x:f>IF('Setup'!$B$22&gt;0,"",MAX(0,F9-K9))</x:f>
        <x:v>7280</x:v>
      </x:c>
      <x:c r="M9" s="23" t="n">
        <x:f>IF('Setup'!$B$22&gt;0,"",IF(J9=0,0,K9/J9))</x:f>
        <x:v>1</x:v>
      </x:c>
      <x:c r="N9" s="25" t="n">
        <x:f>IF('Setup'!$B$22&gt;0,"",SUM('Capacity'!Z42:Z44)*C9)</x:f>
        <x:v>9332.480000000001</x:v>
      </x:c>
      <x:c r="O9" s="25" t="n">
        <x:f>IF('Setup'!$B$22&gt;0,"",SUM('Capacity'!Q42:Q44)*C9)</x:f>
        <x:v>0</x:v>
      </x:c>
      <x:c r="P9" s="1" t="str">
        <x:f>IF('Setup'!$B$22&gt;0,"",IF(C9=0,"Closed",INDEX('Processes'!$A$6:$A$8,MATCH(J9,G9:I9,0))))</x:f>
        <x:v>Ship</x:v>
      </x:c>
      <x:c r="Q9" s="1" t="n">
        <x:f>IF('Setup'!$B$22&gt;0,"",IF(C9=0,0,MAX(0,ROUNDUP(F9/'Capacity'!X42-'Capacity'!Y42,0)-'Capacity'!G42)))</x:f>
        <x:v>21</x:v>
      </x:c>
      <x:c r="R9" s="1" t="n">
        <x:f>IF('Setup'!$B$22&gt;0,"",IF(C9=0,0,MAX(0,ROUNDUP(F9/'Capacity'!X43-'Capacity'!Y43,0)-'Capacity'!G43)))</x:f>
        <x:v>19</x:v>
      </x:c>
      <x:c r="S9" s="1" t="n">
        <x:f>IF('Setup'!$B$22&gt;0,"",IF(C9=0,0,MAX(0,ROUNDUP(F9/'Capacity'!X44-'Capacity'!Y44,0)-'Capacity'!G44)))</x:f>
        <x:v>13</x:v>
      </x:c>
      <x:c r="T9" s="1" t="str">
        <x:f>IF('Setup'!$B$22&gt;0,"",IF(C9=0,IF(L9&gt;'Setup'!$B$7,"Backlog on closed day","Closed"),IF(OR(V9&gt;0,W9&gt;0),"Resolve staffing limits",IF(U9&gt;0,"Resolve physical limit",IF(L9&gt;'Setup'!$B$7,"Close labor capacity gap",IF(L9&gt;0,"Backlog below threshold","Within daily capacity"))))))</x:f>
        <x:v>Resolve physical limit</x:v>
      </x:c>
      <x:c r="U9" s="1" t="n">
        <x:f>IF('Setup'!$B$22&gt;0,"",IF(C9=0,0,MAX(0,F9-INT(MIN('Capacity'!M42:M44)))))</x:f>
        <x:v>5260</x:v>
      </x:c>
      <x:c r="V9" s="1" t="n">
        <x:f>IF('Setup'!$B$22&gt;0,"",SUM('Capacity'!T42:T44)*C9)</x:f>
        <x:v>0</x:v>
      </x:c>
      <x:c r="W9" s="1" t="n">
        <x:f>IF('Setup'!$B$22&gt;0,"",SUM('Capacity'!W42:W44)*C9)</x:f>
        <x:v>0</x:v>
      </x:c>
    </x:row>
    <x:row r="10" ht="23" customHeight="1">
      <x:c r="A10" s="20" t="n">
        <x:f>IF('Setup'!$B$22&gt;0,"",'Demand'!A10)</x:f>
        <x:v>46304</x:v>
      </x:c>
      <x:c r="B10" s="1" t="n">
        <x:f>IF('Setup'!$B$22&gt;0,"",'Demand'!B10)</x:f>
        <x:v>1</x:v>
      </x:c>
      <x:c r="C10" s="1" t="n">
        <x:f>IF('Setup'!$B$22&gt;0,"",'Demand'!C10)</x:f>
        <x:v>1</x:v>
      </x:c>
      <x:c r="D10" s="24" t="n">
        <x:f>IF('Setup'!$B$22&gt;0,"",ROUND('Demand'!D10*'Setup'!B18,0))</x:f>
        <x:v>7800</x:v>
      </x:c>
      <x:c r="E10" s="24" t="n">
        <x:f>IF('Setup'!$B$22&gt;0,"",L9)</x:f>
        <x:v>7280</x:v>
      </x:c>
      <x:c r="F10" s="24" t="n">
        <x:f>IF('Setup'!$B$22&gt;0,"",D10+E10)</x:f>
        <x:v>15080</x:v>
      </x:c>
      <x:c r="G10" s="24" t="n">
        <x:f>IF('Setup'!$B$22&gt;0,"",'Capacity'!N42*C10)</x:f>
        <x:v>7176</x:v>
      </x:c>
      <x:c r="H10" s="24" t="n">
        <x:f>IF('Setup'!$B$22&gt;0,"",'Capacity'!N43*C10)</x:f>
        <x:v>6458</x:v>
      </x:c>
      <x:c r="I10" s="24" t="n">
        <x:f>IF('Setup'!$B$22&gt;0,"",'Capacity'!N44*C10)</x:f>
        <x:v>5980</x:v>
      </x:c>
      <x:c r="J10" s="24" t="n">
        <x:f>IF('Setup'!$B$22&gt;0,"",MIN(G10:I10))</x:f>
        <x:v>5980</x:v>
      </x:c>
      <x:c r="K10" s="24" t="n">
        <x:f>IF('Setup'!$B$22&gt;0,"",MIN(F10,J10))</x:f>
        <x:v>5980</x:v>
      </x:c>
      <x:c r="L10" s="24" t="n">
        <x:f>IF('Setup'!$B$22&gt;0,"",MAX(0,F10-K10))</x:f>
        <x:v>9100</x:v>
      </x:c>
      <x:c r="M10" s="23" t="n">
        <x:f>IF('Setup'!$B$22&gt;0,"",IF(J10=0,0,K10/J10))</x:f>
        <x:v>1</x:v>
      </x:c>
      <x:c r="N10" s="25" t="n">
        <x:f>IF('Setup'!$B$22&gt;0,"",SUM('Capacity'!Z42:Z44)*C10)</x:f>
        <x:v>9332.480000000001</x:v>
      </x:c>
      <x:c r="O10" s="25" t="n">
        <x:f>IF('Setup'!$B$22&gt;0,"",SUM('Capacity'!Q42:Q44)*C10)</x:f>
        <x:v>0</x:v>
      </x:c>
      <x:c r="P10" s="1" t="str">
        <x:f>IF('Setup'!$B$22&gt;0,"",IF(C10=0,"Closed",INDEX('Processes'!$A$6:$A$8,MATCH(J10,G10:I10,0))))</x:f>
        <x:v>Ship</x:v>
      </x:c>
      <x:c r="Q10" s="1" t="n">
        <x:f>IF('Setup'!$B$22&gt;0,"",IF(C10=0,0,MAX(0,ROUNDUP(F10/'Capacity'!X42-'Capacity'!Y42,0)-'Capacity'!G42)))</x:f>
        <x:v>27</x:v>
      </x:c>
      <x:c r="R10" s="1" t="n">
        <x:f>IF('Setup'!$B$22&gt;0,"",IF(C10=0,0,MAX(0,ROUNDUP(F10/'Capacity'!X43-'Capacity'!Y43,0)-'Capacity'!G43)))</x:f>
        <x:v>25</x:v>
      </x:c>
      <x:c r="S10" s="1" t="n">
        <x:f>IF('Setup'!$B$22&gt;0,"",IF(C10=0,0,MAX(0,ROUNDUP(F10/'Capacity'!X44-'Capacity'!Y44,0)-'Capacity'!G44)))</x:f>
        <x:v>16</x:v>
      </x:c>
      <x:c r="T10" s="1" t="str">
        <x:f>IF('Setup'!$B$22&gt;0,"",IF(C10=0,IF(L10&gt;'Setup'!$B$7,"Backlog on closed day","Closed"),IF(OR(V10&gt;0,W10&gt;0),"Resolve staffing limits",IF(U10&gt;0,"Resolve physical limit",IF(L10&gt;'Setup'!$B$7,"Close labor capacity gap",IF(L10&gt;0,"Backlog below threshold","Within daily capacity"))))))</x:f>
        <x:v>Resolve physical limit</x:v>
      </x:c>
      <x:c r="U10" s="1" t="n">
        <x:f>IF('Setup'!$B$22&gt;0,"",IF(C10=0,0,MAX(0,F10-INT(MIN('Capacity'!M42:M44)))))</x:f>
        <x:v>7080</x:v>
      </x:c>
      <x:c r="V10" s="1" t="n">
        <x:f>IF('Setup'!$B$22&gt;0,"",SUM('Capacity'!T42:T44)*C10)</x:f>
        <x:v>0</x:v>
      </x:c>
      <x:c r="W10" s="1" t="n">
        <x:f>IF('Setup'!$B$22&gt;0,"",SUM('Capacity'!W42:W44)*C10)</x:f>
        <x:v>0</x:v>
      </x:c>
    </x:row>
    <x:row r="11" ht="23" customHeight="1">
      <x:c r="A11" s="20" t="n">
        <x:f>IF('Setup'!$B$22&gt;0,"",'Demand'!A11)</x:f>
        <x:v>46305</x:v>
      </x:c>
      <x:c r="B11" s="1" t="n">
        <x:f>IF('Setup'!$B$22&gt;0,"",'Demand'!B11)</x:f>
        <x:v>1</x:v>
      </x:c>
      <x:c r="C11" s="1" t="n">
        <x:f>IF('Setup'!$B$22&gt;0,"",'Demand'!C11)</x:f>
        <x:v>0</x:v>
      </x:c>
      <x:c r="D11" s="24" t="n">
        <x:f>IF('Setup'!$B$22&gt;0,"",ROUND('Demand'!D11*'Setup'!B18,0))</x:f>
        <x:v>0</x:v>
      </x:c>
      <x:c r="E11" s="24" t="n">
        <x:f>IF('Setup'!$B$22&gt;0,"",L10)</x:f>
        <x:v>9100</x:v>
      </x:c>
      <x:c r="F11" s="24" t="n">
        <x:f>IF('Setup'!$B$22&gt;0,"",D11+E11)</x:f>
        <x:v>9100</x:v>
      </x:c>
      <x:c r="G11" s="24" t="n">
        <x:f>IF('Setup'!$B$22&gt;0,"",'Capacity'!N42*C11)</x:f>
        <x:v>0</x:v>
      </x:c>
      <x:c r="H11" s="24" t="n">
        <x:f>IF('Setup'!$B$22&gt;0,"",'Capacity'!N43*C11)</x:f>
        <x:v>0</x:v>
      </x:c>
      <x:c r="I11" s="24" t="n">
        <x:f>IF('Setup'!$B$22&gt;0,"",'Capacity'!N44*C11)</x:f>
        <x:v>0</x:v>
      </x:c>
      <x:c r="J11" s="24" t="n">
        <x:f>IF('Setup'!$B$22&gt;0,"",MIN(G11:I11))</x:f>
        <x:v>0</x:v>
      </x:c>
      <x:c r="K11" s="24" t="n">
        <x:f>IF('Setup'!$B$22&gt;0,"",MIN(F11,J11))</x:f>
        <x:v>0</x:v>
      </x:c>
      <x:c r="L11" s="24" t="n">
        <x:f>IF('Setup'!$B$22&gt;0,"",MAX(0,F11-K11))</x:f>
        <x:v>9100</x:v>
      </x:c>
      <x:c r="M11" s="23" t="n">
        <x:f>IF('Setup'!$B$22&gt;0,"",IF(J11=0,0,K11/J11))</x:f>
        <x:v>0</x:v>
      </x:c>
      <x:c r="N11" s="25" t="n">
        <x:f>IF('Setup'!$B$22&gt;0,"",SUM('Capacity'!Z42:Z44)*C11)</x:f>
        <x:v>0</x:v>
      </x:c>
      <x:c r="O11" s="25" t="n">
        <x:f>IF('Setup'!$B$22&gt;0,"",SUM('Capacity'!Q42:Q44)*C11)</x:f>
        <x:v>0</x:v>
      </x:c>
      <x:c r="P11" s="1" t="str">
        <x:f>IF('Setup'!$B$22&gt;0,"",IF(C11=0,"Closed",INDEX('Processes'!$A$6:$A$8,MATCH(J11,G11:I11,0))))</x:f>
        <x:v>Closed</x:v>
      </x:c>
      <x:c r="Q11" s="1" t="n">
        <x:f>IF('Setup'!$B$22&gt;0,"",IF(C11=0,0,MAX(0,ROUNDUP(F11/'Capacity'!X42-'Capacity'!Y42,0)-'Capacity'!G42)))</x:f>
        <x:v>0</x:v>
      </x:c>
      <x:c r="R11" s="1" t="n">
        <x:f>IF('Setup'!$B$22&gt;0,"",IF(C11=0,0,MAX(0,ROUNDUP(F11/'Capacity'!X43-'Capacity'!Y43,0)-'Capacity'!G43)))</x:f>
        <x:v>0</x:v>
      </x:c>
      <x:c r="S11" s="1" t="n">
        <x:f>IF('Setup'!$B$22&gt;0,"",IF(C11=0,0,MAX(0,ROUNDUP(F11/'Capacity'!X44-'Capacity'!Y44,0)-'Capacity'!G44)))</x:f>
        <x:v>0</x:v>
      </x:c>
      <x:c r="T11" s="1" t="str">
        <x:f>IF('Setup'!$B$22&gt;0,"",IF(C11=0,IF(L11&gt;'Setup'!$B$7,"Backlog on closed day","Closed"),IF(OR(V11&gt;0,W11&gt;0),"Resolve staffing limits",IF(U11&gt;0,"Resolve physical limit",IF(L11&gt;'Setup'!$B$7,"Close labor capacity gap",IF(L11&gt;0,"Backlog below threshold","Within daily capacity"))))))</x:f>
        <x:v>Backlog on closed day</x:v>
      </x:c>
      <x:c r="U11" s="1" t="n">
        <x:f>IF('Setup'!$B$22&gt;0,"",IF(C11=0,0,MAX(0,F11-INT(MIN('Capacity'!M42:M44)))))</x:f>
        <x:v>0</x:v>
      </x:c>
      <x:c r="V11" s="1" t="n">
        <x:f>IF('Setup'!$B$22&gt;0,"",SUM('Capacity'!T42:T44)*C11)</x:f>
        <x:v>0</x:v>
      </x:c>
      <x:c r="W11" s="1" t="n">
        <x:f>IF('Setup'!$B$22&gt;0,"",SUM('Capacity'!W42:W44)*C11)</x:f>
        <x:v>0</x:v>
      </x:c>
    </x:row>
    <x:row r="12" ht="23" customHeight="1">
      <x:c r="A12" s="20" t="n">
        <x:f>IF('Setup'!$B$22&gt;0,"",'Demand'!A12)</x:f>
        <x:v>46306</x:v>
      </x:c>
      <x:c r="B12" s="1" t="n">
        <x:f>IF('Setup'!$B$22&gt;0,"",'Demand'!B12)</x:f>
        <x:v>1</x:v>
      </x:c>
      <x:c r="C12" s="1" t="n">
        <x:f>IF('Setup'!$B$22&gt;0,"",'Demand'!C12)</x:f>
        <x:v>0</x:v>
      </x:c>
      <x:c r="D12" s="24" t="n">
        <x:f>IF('Setup'!$B$22&gt;0,"",ROUND('Demand'!D12*'Setup'!B18,0))</x:f>
        <x:v>0</x:v>
      </x:c>
      <x:c r="E12" s="24" t="n">
        <x:f>IF('Setup'!$B$22&gt;0,"",L11)</x:f>
        <x:v>9100</x:v>
      </x:c>
      <x:c r="F12" s="24" t="n">
        <x:f>IF('Setup'!$B$22&gt;0,"",D12+E12)</x:f>
        <x:v>9100</x:v>
      </x:c>
      <x:c r="G12" s="24" t="n">
        <x:f>IF('Setup'!$B$22&gt;0,"",'Capacity'!N42*C12)</x:f>
        <x:v>0</x:v>
      </x:c>
      <x:c r="H12" s="24" t="n">
        <x:f>IF('Setup'!$B$22&gt;0,"",'Capacity'!N43*C12)</x:f>
        <x:v>0</x:v>
      </x:c>
      <x:c r="I12" s="24" t="n">
        <x:f>IF('Setup'!$B$22&gt;0,"",'Capacity'!N44*C12)</x:f>
        <x:v>0</x:v>
      </x:c>
      <x:c r="J12" s="24" t="n">
        <x:f>IF('Setup'!$B$22&gt;0,"",MIN(G12:I12))</x:f>
        <x:v>0</x:v>
      </x:c>
      <x:c r="K12" s="24" t="n">
        <x:f>IF('Setup'!$B$22&gt;0,"",MIN(F12,J12))</x:f>
        <x:v>0</x:v>
      </x:c>
      <x:c r="L12" s="24" t="n">
        <x:f>IF('Setup'!$B$22&gt;0,"",MAX(0,F12-K12))</x:f>
        <x:v>9100</x:v>
      </x:c>
      <x:c r="M12" s="23" t="n">
        <x:f>IF('Setup'!$B$22&gt;0,"",IF(J12=0,0,K12/J12))</x:f>
        <x:v>0</x:v>
      </x:c>
      <x:c r="N12" s="25" t="n">
        <x:f>IF('Setup'!$B$22&gt;0,"",SUM('Capacity'!Z42:Z44)*C12)</x:f>
        <x:v>0</x:v>
      </x:c>
      <x:c r="O12" s="25" t="n">
        <x:f>IF('Setup'!$B$22&gt;0,"",SUM('Capacity'!Q42:Q44)*C12)</x:f>
        <x:v>0</x:v>
      </x:c>
      <x:c r="P12" s="1" t="str">
        <x:f>IF('Setup'!$B$22&gt;0,"",IF(C12=0,"Closed",INDEX('Processes'!$A$6:$A$8,MATCH(J12,G12:I12,0))))</x:f>
        <x:v>Closed</x:v>
      </x:c>
      <x:c r="Q12" s="1" t="n">
        <x:f>IF('Setup'!$B$22&gt;0,"",IF(C12=0,0,MAX(0,ROUNDUP(F12/'Capacity'!X42-'Capacity'!Y42,0)-'Capacity'!G42)))</x:f>
        <x:v>0</x:v>
      </x:c>
      <x:c r="R12" s="1" t="n">
        <x:f>IF('Setup'!$B$22&gt;0,"",IF(C12=0,0,MAX(0,ROUNDUP(F12/'Capacity'!X43-'Capacity'!Y43,0)-'Capacity'!G43)))</x:f>
        <x:v>0</x:v>
      </x:c>
      <x:c r="S12" s="1" t="n">
        <x:f>IF('Setup'!$B$22&gt;0,"",IF(C12=0,0,MAX(0,ROUNDUP(F12/'Capacity'!X44-'Capacity'!Y44,0)-'Capacity'!G44)))</x:f>
        <x:v>0</x:v>
      </x:c>
      <x:c r="T12" s="1" t="str">
        <x:f>IF('Setup'!$B$22&gt;0,"",IF(C12=0,IF(L12&gt;'Setup'!$B$7,"Backlog on closed day","Closed"),IF(OR(V12&gt;0,W12&gt;0),"Resolve staffing limits",IF(U12&gt;0,"Resolve physical limit",IF(L12&gt;'Setup'!$B$7,"Close labor capacity gap",IF(L12&gt;0,"Backlog below threshold","Within daily capacity"))))))</x:f>
        <x:v>Backlog on closed day</x:v>
      </x:c>
      <x:c r="U12" s="1" t="n">
        <x:f>IF('Setup'!$B$22&gt;0,"",IF(C12=0,0,MAX(0,F12-INT(MIN('Capacity'!M42:M44)))))</x:f>
        <x:v>0</x:v>
      </x:c>
      <x:c r="V12" s="1" t="n">
        <x:f>IF('Setup'!$B$22&gt;0,"",SUM('Capacity'!T42:T44)*C12)</x:f>
        <x:v>0</x:v>
      </x:c>
      <x:c r="W12" s="1" t="n">
        <x:f>IF('Setup'!$B$22&gt;0,"",SUM('Capacity'!W42:W44)*C12)</x:f>
        <x:v>0</x:v>
      </x:c>
    </x:row>
    <x:row r="13" ht="23" customHeight="1">
      <x:c r="A13" s="20" t="n">
        <x:f>IF('Setup'!$B$22&gt;0,"",'Demand'!A13)</x:f>
        <x:v>46307</x:v>
      </x:c>
      <x:c r="B13" s="1" t="n">
        <x:f>IF('Setup'!$B$22&gt;0,"",'Demand'!B13)</x:f>
        <x:v>2</x:v>
      </x:c>
      <x:c r="C13" s="1" t="n">
        <x:f>IF('Setup'!$B$22&gt;0,"",'Demand'!C13)</x:f>
        <x:v>1</x:v>
      </x:c>
      <x:c r="D13" s="24" t="n">
        <x:f>IF('Setup'!$B$22&gt;0,"",ROUND('Demand'!D13*'Setup'!B18,0))</x:f>
        <x:v>8400</x:v>
      </x:c>
      <x:c r="E13" s="24" t="n">
        <x:f>IF('Setup'!$B$22&gt;0,"",L12)</x:f>
        <x:v>9100</x:v>
      </x:c>
      <x:c r="F13" s="24" t="n">
        <x:f>IF('Setup'!$B$22&gt;0,"",D13+E13)</x:f>
        <x:v>17500</x:v>
      </x:c>
      <x:c r="G13" s="24" t="n">
        <x:f>IF('Setup'!$B$22&gt;0,"",'Capacity'!N45*C13)</x:f>
        <x:v>7176</x:v>
      </x:c>
      <x:c r="H13" s="24" t="n">
        <x:f>IF('Setup'!$B$22&gt;0,"",'Capacity'!N46*C13)</x:f>
        <x:v>6458</x:v>
      </x:c>
      <x:c r="I13" s="24" t="n">
        <x:f>IF('Setup'!$B$22&gt;0,"",'Capacity'!N47*C13)</x:f>
        <x:v>5980</x:v>
      </x:c>
      <x:c r="J13" s="24" t="n">
        <x:f>IF('Setup'!$B$22&gt;0,"",MIN(G13:I13))</x:f>
        <x:v>5980</x:v>
      </x:c>
      <x:c r="K13" s="24" t="n">
        <x:f>IF('Setup'!$B$22&gt;0,"",MIN(F13,J13))</x:f>
        <x:v>5980</x:v>
      </x:c>
      <x:c r="L13" s="24" t="n">
        <x:f>IF('Setup'!$B$22&gt;0,"",MAX(0,F13-K13))</x:f>
        <x:v>11520</x:v>
      </x:c>
      <x:c r="M13" s="23" t="n">
        <x:f>IF('Setup'!$B$22&gt;0,"",IF(J13=0,0,K13/J13))</x:f>
        <x:v>1</x:v>
      </x:c>
      <x:c r="N13" s="25" t="n">
        <x:f>IF('Setup'!$B$22&gt;0,"",SUM('Capacity'!Z45:Z47)*C13)</x:f>
        <x:v>9332.480000000001</x:v>
      </x:c>
      <x:c r="O13" s="25" t="n">
        <x:f>IF('Setup'!$B$22&gt;0,"",SUM('Capacity'!Q45:Q47)*C13)</x:f>
        <x:v>0</x:v>
      </x:c>
      <x:c r="P13" s="1" t="str">
        <x:f>IF('Setup'!$B$22&gt;0,"",IF(C13=0,"Closed",INDEX('Processes'!$A$6:$A$8,MATCH(J13,G13:I13,0))))</x:f>
        <x:v>Ship</x:v>
      </x:c>
      <x:c r="Q13" s="1" t="n">
        <x:f>IF('Setup'!$B$22&gt;0,"",IF(C13=0,0,MAX(0,ROUNDUP(F13/'Capacity'!X45-'Capacity'!Y45,0)-'Capacity'!G45)))</x:f>
        <x:v>35</x:v>
      </x:c>
      <x:c r="R13" s="1" t="n">
        <x:f>IF('Setup'!$B$22&gt;0,"",IF(C13=0,0,MAX(0,ROUNDUP(F13/'Capacity'!X46-'Capacity'!Y46,0)-'Capacity'!G46)))</x:f>
        <x:v>31</x:v>
      </x:c>
      <x:c r="S13" s="1" t="n">
        <x:f>IF('Setup'!$B$22&gt;0,"",IF(C13=0,0,MAX(0,ROUNDUP(F13/'Capacity'!X47-'Capacity'!Y47,0)-'Capacity'!G47)))</x:f>
        <x:v>20</x:v>
      </x:c>
      <x:c r="T13" s="1" t="str">
        <x:f>IF('Setup'!$B$22&gt;0,"",IF(C13=0,IF(L13&gt;'Setup'!$B$7,"Backlog on closed day","Closed"),IF(OR(V13&gt;0,W13&gt;0),"Resolve staffing limits",IF(U13&gt;0,"Resolve physical limit",IF(L13&gt;'Setup'!$B$7,"Close labor capacity gap",IF(L13&gt;0,"Backlog below threshold","Within daily capacity"))))))</x:f>
        <x:v>Resolve physical limit</x:v>
      </x:c>
      <x:c r="U13" s="1" t="n">
        <x:f>IF('Setup'!$B$22&gt;0,"",IF(C13=0,0,MAX(0,F13-INT(MIN('Capacity'!M45:M47)))))</x:f>
        <x:v>9500</x:v>
      </x:c>
      <x:c r="V13" s="1" t="n">
        <x:f>IF('Setup'!$B$22&gt;0,"",SUM('Capacity'!T45:T47)*C13)</x:f>
        <x:v>0</x:v>
      </x:c>
      <x:c r="W13" s="1" t="n">
        <x:f>IF('Setup'!$B$22&gt;0,"",SUM('Capacity'!W45:W47)*C13)</x:f>
        <x:v>0</x:v>
      </x:c>
    </x:row>
    <x:row r="14" ht="23" customHeight="1">
      <x:c r="A14" s="20" t="n">
        <x:f>IF('Setup'!$B$22&gt;0,"",'Demand'!A14)</x:f>
        <x:v>46308</x:v>
      </x:c>
      <x:c r="B14" s="1" t="n">
        <x:f>IF('Setup'!$B$22&gt;0,"",'Demand'!B14)</x:f>
        <x:v>2</x:v>
      </x:c>
      <x:c r="C14" s="1" t="n">
        <x:f>IF('Setup'!$B$22&gt;0,"",'Demand'!C14)</x:f>
        <x:v>1</x:v>
      </x:c>
      <x:c r="D14" s="24" t="n">
        <x:f>IF('Setup'!$B$22&gt;0,"",ROUND('Demand'!D14*'Setup'!B18,0))</x:f>
        <x:v>8400</x:v>
      </x:c>
      <x:c r="E14" s="24" t="n">
        <x:f>IF('Setup'!$B$22&gt;0,"",L13)</x:f>
        <x:v>11520</x:v>
      </x:c>
      <x:c r="F14" s="24" t="n">
        <x:f>IF('Setup'!$B$22&gt;0,"",D14+E14)</x:f>
        <x:v>19920</x:v>
      </x:c>
      <x:c r="G14" s="24" t="n">
        <x:f>IF('Setup'!$B$22&gt;0,"",'Capacity'!N45*C14)</x:f>
        <x:v>7176</x:v>
      </x:c>
      <x:c r="H14" s="24" t="n">
        <x:f>IF('Setup'!$B$22&gt;0,"",'Capacity'!N46*C14)</x:f>
        <x:v>6458</x:v>
      </x:c>
      <x:c r="I14" s="24" t="n">
        <x:f>IF('Setup'!$B$22&gt;0,"",'Capacity'!N47*C14)</x:f>
        <x:v>5980</x:v>
      </x:c>
      <x:c r="J14" s="24" t="n">
        <x:f>IF('Setup'!$B$22&gt;0,"",MIN(G14:I14))</x:f>
        <x:v>5980</x:v>
      </x:c>
      <x:c r="K14" s="24" t="n">
        <x:f>IF('Setup'!$B$22&gt;0,"",MIN(F14,J14))</x:f>
        <x:v>5980</x:v>
      </x:c>
      <x:c r="L14" s="24" t="n">
        <x:f>IF('Setup'!$B$22&gt;0,"",MAX(0,F14-K14))</x:f>
        <x:v>13940</x:v>
      </x:c>
      <x:c r="M14" s="23" t="n">
        <x:f>IF('Setup'!$B$22&gt;0,"",IF(J14=0,0,K14/J14))</x:f>
        <x:v>1</x:v>
      </x:c>
      <x:c r="N14" s="25" t="n">
        <x:f>IF('Setup'!$B$22&gt;0,"",SUM('Capacity'!Z45:Z47)*C14)</x:f>
        <x:v>9332.480000000001</x:v>
      </x:c>
      <x:c r="O14" s="25" t="n">
        <x:f>IF('Setup'!$B$22&gt;0,"",SUM('Capacity'!Q45:Q47)*C14)</x:f>
        <x:v>0</x:v>
      </x:c>
      <x:c r="P14" s="1" t="str">
        <x:f>IF('Setup'!$B$22&gt;0,"",IF(C14=0,"Closed",INDEX('Processes'!$A$6:$A$8,MATCH(J14,G14:I14,0))))</x:f>
        <x:v>Ship</x:v>
      </x:c>
      <x:c r="Q14" s="1" t="n">
        <x:f>IF('Setup'!$B$22&gt;0,"",IF(C14=0,0,MAX(0,ROUNDUP(F14/'Capacity'!X45-'Capacity'!Y45,0)-'Capacity'!G45)))</x:f>
        <x:v>43</x:v>
      </x:c>
      <x:c r="R14" s="1" t="n">
        <x:f>IF('Setup'!$B$22&gt;0,"",IF(C14=0,0,MAX(0,ROUNDUP(F14/'Capacity'!X46-'Capacity'!Y46,0)-'Capacity'!G46)))</x:f>
        <x:v>38</x:v>
      </x:c>
      <x:c r="S14" s="1" t="n">
        <x:f>IF('Setup'!$B$22&gt;0,"",IF(C14=0,0,MAX(0,ROUNDUP(F14/'Capacity'!X47-'Capacity'!Y47,0)-'Capacity'!G47)))</x:f>
        <x:v>24</x:v>
      </x:c>
      <x:c r="T14" s="1" t="str">
        <x:f>IF('Setup'!$B$22&gt;0,"",IF(C14=0,IF(L14&gt;'Setup'!$B$7,"Backlog on closed day","Closed"),IF(OR(V14&gt;0,W14&gt;0),"Resolve staffing limits",IF(U14&gt;0,"Resolve physical limit",IF(L14&gt;'Setup'!$B$7,"Close labor capacity gap",IF(L14&gt;0,"Backlog below threshold","Within daily capacity"))))))</x:f>
        <x:v>Resolve physical limit</x:v>
      </x:c>
      <x:c r="U14" s="1" t="n">
        <x:f>IF('Setup'!$B$22&gt;0,"",IF(C14=0,0,MAX(0,F14-INT(MIN('Capacity'!M45:M47)))))</x:f>
        <x:v>11920</x:v>
      </x:c>
      <x:c r="V14" s="1" t="n">
        <x:f>IF('Setup'!$B$22&gt;0,"",SUM('Capacity'!T45:T47)*C14)</x:f>
        <x:v>0</x:v>
      </x:c>
      <x:c r="W14" s="1" t="n">
        <x:f>IF('Setup'!$B$22&gt;0,"",SUM('Capacity'!W45:W47)*C14)</x:f>
        <x:v>0</x:v>
      </x:c>
    </x:row>
    <x:row r="15" ht="23" customHeight="1">
      <x:c r="A15" s="20" t="n">
        <x:f>IF('Setup'!$B$22&gt;0,"",'Demand'!A15)</x:f>
        <x:v>46309</x:v>
      </x:c>
      <x:c r="B15" s="1" t="n">
        <x:f>IF('Setup'!$B$22&gt;0,"",'Demand'!B15)</x:f>
        <x:v>2</x:v>
      </x:c>
      <x:c r="C15" s="1" t="n">
        <x:f>IF('Setup'!$B$22&gt;0,"",'Demand'!C15)</x:f>
        <x:v>1</x:v>
      </x:c>
      <x:c r="D15" s="24" t="n">
        <x:f>IF('Setup'!$B$22&gt;0,"",ROUND('Demand'!D15*'Setup'!B18,0))</x:f>
        <x:v>8400</x:v>
      </x:c>
      <x:c r="E15" s="24" t="n">
        <x:f>IF('Setup'!$B$22&gt;0,"",L14)</x:f>
        <x:v>13940</x:v>
      </x:c>
      <x:c r="F15" s="24" t="n">
        <x:f>IF('Setup'!$B$22&gt;0,"",D15+E15)</x:f>
        <x:v>22340</x:v>
      </x:c>
      <x:c r="G15" s="24" t="n">
        <x:f>IF('Setup'!$B$22&gt;0,"",'Capacity'!N45*C15)</x:f>
        <x:v>7176</x:v>
      </x:c>
      <x:c r="H15" s="24" t="n">
        <x:f>IF('Setup'!$B$22&gt;0,"",'Capacity'!N46*C15)</x:f>
        <x:v>6458</x:v>
      </x:c>
      <x:c r="I15" s="24" t="n">
        <x:f>IF('Setup'!$B$22&gt;0,"",'Capacity'!N47*C15)</x:f>
        <x:v>5980</x:v>
      </x:c>
      <x:c r="J15" s="24" t="n">
        <x:f>IF('Setup'!$B$22&gt;0,"",MIN(G15:I15))</x:f>
        <x:v>5980</x:v>
      </x:c>
      <x:c r="K15" s="24" t="n">
        <x:f>IF('Setup'!$B$22&gt;0,"",MIN(F15,J15))</x:f>
        <x:v>5980</x:v>
      </x:c>
      <x:c r="L15" s="24" t="n">
        <x:f>IF('Setup'!$B$22&gt;0,"",MAX(0,F15-K15))</x:f>
        <x:v>16360</x:v>
      </x:c>
      <x:c r="M15" s="23" t="n">
        <x:f>IF('Setup'!$B$22&gt;0,"",IF(J15=0,0,K15/J15))</x:f>
        <x:v>1</x:v>
      </x:c>
      <x:c r="N15" s="25" t="n">
        <x:f>IF('Setup'!$B$22&gt;0,"",SUM('Capacity'!Z45:Z47)*C15)</x:f>
        <x:v>9332.480000000001</x:v>
      </x:c>
      <x:c r="O15" s="25" t="n">
        <x:f>IF('Setup'!$B$22&gt;0,"",SUM('Capacity'!Q45:Q47)*C15)</x:f>
        <x:v>0</x:v>
      </x:c>
      <x:c r="P15" s="1" t="str">
        <x:f>IF('Setup'!$B$22&gt;0,"",IF(C15=0,"Closed",INDEX('Processes'!$A$6:$A$8,MATCH(J15,G15:I15,0))))</x:f>
        <x:v>Ship</x:v>
      </x:c>
      <x:c r="Q15" s="1" t="n">
        <x:f>IF('Setup'!$B$22&gt;0,"",IF(C15=0,0,MAX(0,ROUNDUP(F15/'Capacity'!X45-'Capacity'!Y45,0)-'Capacity'!G45)))</x:f>
        <x:v>51</x:v>
      </x:c>
      <x:c r="R15" s="1" t="n">
        <x:f>IF('Setup'!$B$22&gt;0,"",IF(C15=0,0,MAX(0,ROUNDUP(F15/'Capacity'!X46-'Capacity'!Y46,0)-'Capacity'!G46)))</x:f>
        <x:v>45</x:v>
      </x:c>
      <x:c r="S15" s="1" t="n">
        <x:f>IF('Setup'!$B$22&gt;0,"",IF(C15=0,0,MAX(0,ROUNDUP(F15/'Capacity'!X47-'Capacity'!Y47,0)-'Capacity'!G47)))</x:f>
        <x:v>28</x:v>
      </x:c>
      <x:c r="T15" s="1" t="str">
        <x:f>IF('Setup'!$B$22&gt;0,"",IF(C15=0,IF(L15&gt;'Setup'!$B$7,"Backlog on closed day","Closed"),IF(OR(V15&gt;0,W15&gt;0),"Resolve staffing limits",IF(U15&gt;0,"Resolve physical limit",IF(L15&gt;'Setup'!$B$7,"Close labor capacity gap",IF(L15&gt;0,"Backlog below threshold","Within daily capacity"))))))</x:f>
        <x:v>Resolve physical limit</x:v>
      </x:c>
      <x:c r="U15" s="1" t="n">
        <x:f>IF('Setup'!$B$22&gt;0,"",IF(C15=0,0,MAX(0,F15-INT(MIN('Capacity'!M45:M47)))))</x:f>
        <x:v>14340</x:v>
      </x:c>
      <x:c r="V15" s="1" t="n">
        <x:f>IF('Setup'!$B$22&gt;0,"",SUM('Capacity'!T45:T47)*C15)</x:f>
        <x:v>0</x:v>
      </x:c>
      <x:c r="W15" s="1" t="n">
        <x:f>IF('Setup'!$B$22&gt;0,"",SUM('Capacity'!W45:W47)*C15)</x:f>
        <x:v>0</x:v>
      </x:c>
    </x:row>
    <x:row r="16" ht="23" customHeight="1">
      <x:c r="A16" s="20" t="n">
        <x:f>IF('Setup'!$B$22&gt;0,"",'Demand'!A16)</x:f>
        <x:v>46310</x:v>
      </x:c>
      <x:c r="B16" s="1" t="n">
        <x:f>IF('Setup'!$B$22&gt;0,"",'Demand'!B16)</x:f>
        <x:v>2</x:v>
      </x:c>
      <x:c r="C16" s="1" t="n">
        <x:f>IF('Setup'!$B$22&gt;0,"",'Demand'!C16)</x:f>
        <x:v>1</x:v>
      </x:c>
      <x:c r="D16" s="24" t="n">
        <x:f>IF('Setup'!$B$22&gt;0,"",ROUND('Demand'!D16*'Setup'!B18,0))</x:f>
        <x:v>8400</x:v>
      </x:c>
      <x:c r="E16" s="24" t="n">
        <x:f>IF('Setup'!$B$22&gt;0,"",L15)</x:f>
        <x:v>16360</x:v>
      </x:c>
      <x:c r="F16" s="24" t="n">
        <x:f>IF('Setup'!$B$22&gt;0,"",D16+E16)</x:f>
        <x:v>24760</x:v>
      </x:c>
      <x:c r="G16" s="24" t="n">
        <x:f>IF('Setup'!$B$22&gt;0,"",'Capacity'!N45*C16)</x:f>
        <x:v>7176</x:v>
      </x:c>
      <x:c r="H16" s="24" t="n">
        <x:f>IF('Setup'!$B$22&gt;0,"",'Capacity'!N46*C16)</x:f>
        <x:v>6458</x:v>
      </x:c>
      <x:c r="I16" s="24" t="n">
        <x:f>IF('Setup'!$B$22&gt;0,"",'Capacity'!N47*C16)</x:f>
        <x:v>5980</x:v>
      </x:c>
      <x:c r="J16" s="24" t="n">
        <x:f>IF('Setup'!$B$22&gt;0,"",MIN(G16:I16))</x:f>
        <x:v>5980</x:v>
      </x:c>
      <x:c r="K16" s="24" t="n">
        <x:f>IF('Setup'!$B$22&gt;0,"",MIN(F16,J16))</x:f>
        <x:v>5980</x:v>
      </x:c>
      <x:c r="L16" s="24" t="n">
        <x:f>IF('Setup'!$B$22&gt;0,"",MAX(0,F16-K16))</x:f>
        <x:v>18780</x:v>
      </x:c>
      <x:c r="M16" s="23" t="n">
        <x:f>IF('Setup'!$B$22&gt;0,"",IF(J16=0,0,K16/J16))</x:f>
        <x:v>1</x:v>
      </x:c>
      <x:c r="N16" s="25" t="n">
        <x:f>IF('Setup'!$B$22&gt;0,"",SUM('Capacity'!Z45:Z47)*C16)</x:f>
        <x:v>9332.480000000001</x:v>
      </x:c>
      <x:c r="O16" s="25" t="n">
        <x:f>IF('Setup'!$B$22&gt;0,"",SUM('Capacity'!Q45:Q47)*C16)</x:f>
        <x:v>0</x:v>
      </x:c>
      <x:c r="P16" s="1" t="str">
        <x:f>IF('Setup'!$B$22&gt;0,"",IF(C16=0,"Closed",INDEX('Processes'!$A$6:$A$8,MATCH(J16,G16:I16,0))))</x:f>
        <x:v>Ship</x:v>
      </x:c>
      <x:c r="Q16" s="1" t="n">
        <x:f>IF('Setup'!$B$22&gt;0,"",IF(C16=0,0,MAX(0,ROUNDUP(F16/'Capacity'!X45-'Capacity'!Y45,0)-'Capacity'!G45)))</x:f>
        <x:v>59</x:v>
      </x:c>
      <x:c r="R16" s="1" t="n">
        <x:f>IF('Setup'!$B$22&gt;0,"",IF(C16=0,0,MAX(0,ROUNDUP(F16/'Capacity'!X46-'Capacity'!Y46,0)-'Capacity'!G46)))</x:f>
        <x:v>52</x:v>
      </x:c>
      <x:c r="S16" s="1" t="n">
        <x:f>IF('Setup'!$B$22&gt;0,"",IF(C16=0,0,MAX(0,ROUNDUP(F16/'Capacity'!X47-'Capacity'!Y47,0)-'Capacity'!G47)))</x:f>
        <x:v>32</x:v>
      </x:c>
      <x:c r="T16" s="1" t="str">
        <x:f>IF('Setup'!$B$22&gt;0,"",IF(C16=0,IF(L16&gt;'Setup'!$B$7,"Backlog on closed day","Closed"),IF(OR(V16&gt;0,W16&gt;0),"Resolve staffing limits",IF(U16&gt;0,"Resolve physical limit",IF(L16&gt;'Setup'!$B$7,"Close labor capacity gap",IF(L16&gt;0,"Backlog below threshold","Within daily capacity"))))))</x:f>
        <x:v>Resolve physical limit</x:v>
      </x:c>
      <x:c r="U16" s="1" t="n">
        <x:f>IF('Setup'!$B$22&gt;0,"",IF(C16=0,0,MAX(0,F16-INT(MIN('Capacity'!M45:M47)))))</x:f>
        <x:v>16760</x:v>
      </x:c>
      <x:c r="V16" s="1" t="n">
        <x:f>IF('Setup'!$B$22&gt;0,"",SUM('Capacity'!T45:T47)*C16)</x:f>
        <x:v>0</x:v>
      </x:c>
      <x:c r="W16" s="1" t="n">
        <x:f>IF('Setup'!$B$22&gt;0,"",SUM('Capacity'!W45:W47)*C16)</x:f>
        <x:v>0</x:v>
      </x:c>
    </x:row>
    <x:row r="17" ht="23" customHeight="1">
      <x:c r="A17" s="20" t="n">
        <x:f>IF('Setup'!$B$22&gt;0,"",'Demand'!A17)</x:f>
        <x:v>46311</x:v>
      </x:c>
      <x:c r="B17" s="1" t="n">
        <x:f>IF('Setup'!$B$22&gt;0,"",'Demand'!B17)</x:f>
        <x:v>2</x:v>
      </x:c>
      <x:c r="C17" s="1" t="n">
        <x:f>IF('Setup'!$B$22&gt;0,"",'Demand'!C17)</x:f>
        <x:v>1</x:v>
      </x:c>
      <x:c r="D17" s="24" t="n">
        <x:f>IF('Setup'!$B$22&gt;0,"",ROUND('Demand'!D17*'Setup'!B18,0))</x:f>
        <x:v>8400</x:v>
      </x:c>
      <x:c r="E17" s="24" t="n">
        <x:f>IF('Setup'!$B$22&gt;0,"",L16)</x:f>
        <x:v>18780</x:v>
      </x:c>
      <x:c r="F17" s="24" t="n">
        <x:f>IF('Setup'!$B$22&gt;0,"",D17+E17)</x:f>
        <x:v>27180</x:v>
      </x:c>
      <x:c r="G17" s="24" t="n">
        <x:f>IF('Setup'!$B$22&gt;0,"",'Capacity'!N45*C17)</x:f>
        <x:v>7176</x:v>
      </x:c>
      <x:c r="H17" s="24" t="n">
        <x:f>IF('Setup'!$B$22&gt;0,"",'Capacity'!N46*C17)</x:f>
        <x:v>6458</x:v>
      </x:c>
      <x:c r="I17" s="24" t="n">
        <x:f>IF('Setup'!$B$22&gt;0,"",'Capacity'!N47*C17)</x:f>
        <x:v>5980</x:v>
      </x:c>
      <x:c r="J17" s="24" t="n">
        <x:f>IF('Setup'!$B$22&gt;0,"",MIN(G17:I17))</x:f>
        <x:v>5980</x:v>
      </x:c>
      <x:c r="K17" s="24" t="n">
        <x:f>IF('Setup'!$B$22&gt;0,"",MIN(F17,J17))</x:f>
        <x:v>5980</x:v>
      </x:c>
      <x:c r="L17" s="24" t="n">
        <x:f>IF('Setup'!$B$22&gt;0,"",MAX(0,F17-K17))</x:f>
        <x:v>21200</x:v>
      </x:c>
      <x:c r="M17" s="23" t="n">
        <x:f>IF('Setup'!$B$22&gt;0,"",IF(J17=0,0,K17/J17))</x:f>
        <x:v>1</x:v>
      </x:c>
      <x:c r="N17" s="25" t="n">
        <x:f>IF('Setup'!$B$22&gt;0,"",SUM('Capacity'!Z45:Z47)*C17)</x:f>
        <x:v>9332.480000000001</x:v>
      </x:c>
      <x:c r="O17" s="25" t="n">
        <x:f>IF('Setup'!$B$22&gt;0,"",SUM('Capacity'!Q45:Q47)*C17)</x:f>
        <x:v>0</x:v>
      </x:c>
      <x:c r="P17" s="1" t="str">
        <x:f>IF('Setup'!$B$22&gt;0,"",IF(C17=0,"Closed",INDEX('Processes'!$A$6:$A$8,MATCH(J17,G17:I17,0))))</x:f>
        <x:v>Ship</x:v>
      </x:c>
      <x:c r="Q17" s="1" t="n">
        <x:f>IF('Setup'!$B$22&gt;0,"",IF(C17=0,0,MAX(0,ROUNDUP(F17/'Capacity'!X45-'Capacity'!Y45,0)-'Capacity'!G45)))</x:f>
        <x:v>67</x:v>
      </x:c>
      <x:c r="R17" s="1" t="n">
        <x:f>IF('Setup'!$B$22&gt;0,"",IF(C17=0,0,MAX(0,ROUNDUP(F17/'Capacity'!X46-'Capacity'!Y46,0)-'Capacity'!G46)))</x:f>
        <x:v>58</x:v>
      </x:c>
      <x:c r="S17" s="1" t="n">
        <x:f>IF('Setup'!$B$22&gt;0,"",IF(C17=0,0,MAX(0,ROUNDUP(F17/'Capacity'!X47-'Capacity'!Y47,0)-'Capacity'!G47)))</x:f>
        <x:v>36</x:v>
      </x:c>
      <x:c r="T17" s="1" t="str">
        <x:f>IF('Setup'!$B$22&gt;0,"",IF(C17=0,IF(L17&gt;'Setup'!$B$7,"Backlog on closed day","Closed"),IF(OR(V17&gt;0,W17&gt;0),"Resolve staffing limits",IF(U17&gt;0,"Resolve physical limit",IF(L17&gt;'Setup'!$B$7,"Close labor capacity gap",IF(L17&gt;0,"Backlog below threshold","Within daily capacity"))))))</x:f>
        <x:v>Resolve physical limit</x:v>
      </x:c>
      <x:c r="U17" s="1" t="n">
        <x:f>IF('Setup'!$B$22&gt;0,"",IF(C17=0,0,MAX(0,F17-INT(MIN('Capacity'!M45:M47)))))</x:f>
        <x:v>19180</x:v>
      </x:c>
      <x:c r="V17" s="1" t="n">
        <x:f>IF('Setup'!$B$22&gt;0,"",SUM('Capacity'!T45:T47)*C17)</x:f>
        <x:v>0</x:v>
      </x:c>
      <x:c r="W17" s="1" t="n">
        <x:f>IF('Setup'!$B$22&gt;0,"",SUM('Capacity'!W45:W47)*C17)</x:f>
        <x:v>0</x:v>
      </x:c>
    </x:row>
    <x:row r="18" ht="23" customHeight="1">
      <x:c r="A18" s="20" t="n">
        <x:f>IF('Setup'!$B$22&gt;0,"",'Demand'!A18)</x:f>
        <x:v>46312</x:v>
      </x:c>
      <x:c r="B18" s="1" t="n">
        <x:f>IF('Setup'!$B$22&gt;0,"",'Demand'!B18)</x:f>
        <x:v>2</x:v>
      </x:c>
      <x:c r="C18" s="1" t="n">
        <x:f>IF('Setup'!$B$22&gt;0,"",'Demand'!C18)</x:f>
        <x:v>0</x:v>
      </x:c>
      <x:c r="D18" s="24" t="n">
        <x:f>IF('Setup'!$B$22&gt;0,"",ROUND('Demand'!D18*'Setup'!B18,0))</x:f>
        <x:v>0</x:v>
      </x:c>
      <x:c r="E18" s="24" t="n">
        <x:f>IF('Setup'!$B$22&gt;0,"",L17)</x:f>
        <x:v>21200</x:v>
      </x:c>
      <x:c r="F18" s="24" t="n">
        <x:f>IF('Setup'!$B$22&gt;0,"",D18+E18)</x:f>
        <x:v>21200</x:v>
      </x:c>
      <x:c r="G18" s="24" t="n">
        <x:f>IF('Setup'!$B$22&gt;0,"",'Capacity'!N45*C18)</x:f>
        <x:v>0</x:v>
      </x:c>
      <x:c r="H18" s="24" t="n">
        <x:f>IF('Setup'!$B$22&gt;0,"",'Capacity'!N46*C18)</x:f>
        <x:v>0</x:v>
      </x:c>
      <x:c r="I18" s="24" t="n">
        <x:f>IF('Setup'!$B$22&gt;0,"",'Capacity'!N47*C18)</x:f>
        <x:v>0</x:v>
      </x:c>
      <x:c r="J18" s="24" t="n">
        <x:f>IF('Setup'!$B$22&gt;0,"",MIN(G18:I18))</x:f>
        <x:v>0</x:v>
      </x:c>
      <x:c r="K18" s="24" t="n">
        <x:f>IF('Setup'!$B$22&gt;0,"",MIN(F18,J18))</x:f>
        <x:v>0</x:v>
      </x:c>
      <x:c r="L18" s="24" t="n">
        <x:f>IF('Setup'!$B$22&gt;0,"",MAX(0,F18-K18))</x:f>
        <x:v>21200</x:v>
      </x:c>
      <x:c r="M18" s="23" t="n">
        <x:f>IF('Setup'!$B$22&gt;0,"",IF(J18=0,0,K18/J18))</x:f>
        <x:v>0</x:v>
      </x:c>
      <x:c r="N18" s="25" t="n">
        <x:f>IF('Setup'!$B$22&gt;0,"",SUM('Capacity'!Z45:Z47)*C18)</x:f>
        <x:v>0</x:v>
      </x:c>
      <x:c r="O18" s="25" t="n">
        <x:f>IF('Setup'!$B$22&gt;0,"",SUM('Capacity'!Q45:Q47)*C18)</x:f>
        <x:v>0</x:v>
      </x:c>
      <x:c r="P18" s="1" t="str">
        <x:f>IF('Setup'!$B$22&gt;0,"",IF(C18=0,"Closed",INDEX('Processes'!$A$6:$A$8,MATCH(J18,G18:I18,0))))</x:f>
        <x:v>Closed</x:v>
      </x:c>
      <x:c r="Q18" s="1" t="n">
        <x:f>IF('Setup'!$B$22&gt;0,"",IF(C18=0,0,MAX(0,ROUNDUP(F18/'Capacity'!X45-'Capacity'!Y45,0)-'Capacity'!G45)))</x:f>
        <x:v>0</x:v>
      </x:c>
      <x:c r="R18" s="1" t="n">
        <x:f>IF('Setup'!$B$22&gt;0,"",IF(C18=0,0,MAX(0,ROUNDUP(F18/'Capacity'!X46-'Capacity'!Y46,0)-'Capacity'!G46)))</x:f>
        <x:v>0</x:v>
      </x:c>
      <x:c r="S18" s="1" t="n">
        <x:f>IF('Setup'!$B$22&gt;0,"",IF(C18=0,0,MAX(0,ROUNDUP(F18/'Capacity'!X47-'Capacity'!Y47,0)-'Capacity'!G47)))</x:f>
        <x:v>0</x:v>
      </x:c>
      <x:c r="T18" s="1" t="str">
        <x:f>IF('Setup'!$B$22&gt;0,"",IF(C18=0,IF(L18&gt;'Setup'!$B$7,"Backlog on closed day","Closed"),IF(OR(V18&gt;0,W18&gt;0),"Resolve staffing limits",IF(U18&gt;0,"Resolve physical limit",IF(L18&gt;'Setup'!$B$7,"Close labor capacity gap",IF(L18&gt;0,"Backlog below threshold","Within daily capacity"))))))</x:f>
        <x:v>Backlog on closed day</x:v>
      </x:c>
      <x:c r="U18" s="1" t="n">
        <x:f>IF('Setup'!$B$22&gt;0,"",IF(C18=0,0,MAX(0,F18-INT(MIN('Capacity'!M45:M47)))))</x:f>
        <x:v>0</x:v>
      </x:c>
      <x:c r="V18" s="1" t="n">
        <x:f>IF('Setup'!$B$22&gt;0,"",SUM('Capacity'!T45:T47)*C18)</x:f>
        <x:v>0</x:v>
      </x:c>
      <x:c r="W18" s="1" t="n">
        <x:f>IF('Setup'!$B$22&gt;0,"",SUM('Capacity'!W45:W47)*C18)</x:f>
        <x:v>0</x:v>
      </x:c>
    </x:row>
    <x:row r="19" ht="23" customHeight="1">
      <x:c r="A19" s="20" t="n">
        <x:f>IF('Setup'!$B$22&gt;0,"",'Demand'!A19)</x:f>
        <x:v>46313</x:v>
      </x:c>
      <x:c r="B19" s="1" t="n">
        <x:f>IF('Setup'!$B$22&gt;0,"",'Demand'!B19)</x:f>
        <x:v>2</x:v>
      </x:c>
      <x:c r="C19" s="1" t="n">
        <x:f>IF('Setup'!$B$22&gt;0,"",'Demand'!C19)</x:f>
        <x:v>0</x:v>
      </x:c>
      <x:c r="D19" s="24" t="n">
        <x:f>IF('Setup'!$B$22&gt;0,"",ROUND('Demand'!D19*'Setup'!B18,0))</x:f>
        <x:v>0</x:v>
      </x:c>
      <x:c r="E19" s="24" t="n">
        <x:f>IF('Setup'!$B$22&gt;0,"",L18)</x:f>
        <x:v>21200</x:v>
      </x:c>
      <x:c r="F19" s="24" t="n">
        <x:f>IF('Setup'!$B$22&gt;0,"",D19+E19)</x:f>
        <x:v>21200</x:v>
      </x:c>
      <x:c r="G19" s="24" t="n">
        <x:f>IF('Setup'!$B$22&gt;0,"",'Capacity'!N45*C19)</x:f>
        <x:v>0</x:v>
      </x:c>
      <x:c r="H19" s="24" t="n">
        <x:f>IF('Setup'!$B$22&gt;0,"",'Capacity'!N46*C19)</x:f>
        <x:v>0</x:v>
      </x:c>
      <x:c r="I19" s="24" t="n">
        <x:f>IF('Setup'!$B$22&gt;0,"",'Capacity'!N47*C19)</x:f>
        <x:v>0</x:v>
      </x:c>
      <x:c r="J19" s="24" t="n">
        <x:f>IF('Setup'!$B$22&gt;0,"",MIN(G19:I19))</x:f>
        <x:v>0</x:v>
      </x:c>
      <x:c r="K19" s="24" t="n">
        <x:f>IF('Setup'!$B$22&gt;0,"",MIN(F19,J19))</x:f>
        <x:v>0</x:v>
      </x:c>
      <x:c r="L19" s="24" t="n">
        <x:f>IF('Setup'!$B$22&gt;0,"",MAX(0,F19-K19))</x:f>
        <x:v>21200</x:v>
      </x:c>
      <x:c r="M19" s="23" t="n">
        <x:f>IF('Setup'!$B$22&gt;0,"",IF(J19=0,0,K19/J19))</x:f>
        <x:v>0</x:v>
      </x:c>
      <x:c r="N19" s="25" t="n">
        <x:f>IF('Setup'!$B$22&gt;0,"",SUM('Capacity'!Z45:Z47)*C19)</x:f>
        <x:v>0</x:v>
      </x:c>
      <x:c r="O19" s="25" t="n">
        <x:f>IF('Setup'!$B$22&gt;0,"",SUM('Capacity'!Q45:Q47)*C19)</x:f>
        <x:v>0</x:v>
      </x:c>
      <x:c r="P19" s="1" t="str">
        <x:f>IF('Setup'!$B$22&gt;0,"",IF(C19=0,"Closed",INDEX('Processes'!$A$6:$A$8,MATCH(J19,G19:I19,0))))</x:f>
        <x:v>Closed</x:v>
      </x:c>
      <x:c r="Q19" s="1" t="n">
        <x:f>IF('Setup'!$B$22&gt;0,"",IF(C19=0,0,MAX(0,ROUNDUP(F19/'Capacity'!X45-'Capacity'!Y45,0)-'Capacity'!G45)))</x:f>
        <x:v>0</x:v>
      </x:c>
      <x:c r="R19" s="1" t="n">
        <x:f>IF('Setup'!$B$22&gt;0,"",IF(C19=0,0,MAX(0,ROUNDUP(F19/'Capacity'!X46-'Capacity'!Y46,0)-'Capacity'!G46)))</x:f>
        <x:v>0</x:v>
      </x:c>
      <x:c r="S19" s="1" t="n">
        <x:f>IF('Setup'!$B$22&gt;0,"",IF(C19=0,0,MAX(0,ROUNDUP(F19/'Capacity'!X47-'Capacity'!Y47,0)-'Capacity'!G47)))</x:f>
        <x:v>0</x:v>
      </x:c>
      <x:c r="T19" s="1" t="str">
        <x:f>IF('Setup'!$B$22&gt;0,"",IF(C19=0,IF(L19&gt;'Setup'!$B$7,"Backlog on closed day","Closed"),IF(OR(V19&gt;0,W19&gt;0),"Resolve staffing limits",IF(U19&gt;0,"Resolve physical limit",IF(L19&gt;'Setup'!$B$7,"Close labor capacity gap",IF(L19&gt;0,"Backlog below threshold","Within daily capacity"))))))</x:f>
        <x:v>Backlog on closed day</x:v>
      </x:c>
      <x:c r="U19" s="1" t="n">
        <x:f>IF('Setup'!$B$22&gt;0,"",IF(C19=0,0,MAX(0,F19-INT(MIN('Capacity'!M45:M47)))))</x:f>
        <x:v>0</x:v>
      </x:c>
      <x:c r="V19" s="1" t="n">
        <x:f>IF('Setup'!$B$22&gt;0,"",SUM('Capacity'!T45:T47)*C19)</x:f>
        <x:v>0</x:v>
      </x:c>
      <x:c r="W19" s="1" t="n">
        <x:f>IF('Setup'!$B$22&gt;0,"",SUM('Capacity'!W45:W47)*C19)</x:f>
        <x:v>0</x:v>
      </x:c>
    </x:row>
    <x:row r="20" ht="23" customHeight="1">
      <x:c r="A20" s="20" t="n">
        <x:f>IF('Setup'!$B$22&gt;0,"",'Demand'!A20)</x:f>
        <x:v>46314</x:v>
      </x:c>
      <x:c r="B20" s="1" t="n">
        <x:f>IF('Setup'!$B$22&gt;0,"",'Demand'!B20)</x:f>
        <x:v>3</x:v>
      </x:c>
      <x:c r="C20" s="1" t="n">
        <x:f>IF('Setup'!$B$22&gt;0,"",'Demand'!C20)</x:f>
        <x:v>1</x:v>
      </x:c>
      <x:c r="D20" s="24" t="n">
        <x:f>IF('Setup'!$B$22&gt;0,"",ROUND('Demand'!D20*'Setup'!B18,0))</x:f>
        <x:v>9600</x:v>
      </x:c>
      <x:c r="E20" s="24" t="n">
        <x:f>IF('Setup'!$B$22&gt;0,"",L19)</x:f>
        <x:v>21200</x:v>
      </x:c>
      <x:c r="F20" s="24" t="n">
        <x:f>IF('Setup'!$B$22&gt;0,"",D20+E20)</x:f>
        <x:v>30800</x:v>
      </x:c>
      <x:c r="G20" s="24" t="n">
        <x:f>IF('Setup'!$B$22&gt;0,"",'Capacity'!N48*C20)</x:f>
        <x:v>7774</x:v>
      </x:c>
      <x:c r="H20" s="24" t="n">
        <x:f>IF('Setup'!$B$22&gt;0,"",'Capacity'!N49*C20)</x:f>
        <x:v>7176</x:v>
      </x:c>
      <x:c r="I20" s="24" t="n">
        <x:f>IF('Setup'!$B$22&gt;0,"",'Capacity'!N50*C20)</x:f>
        <x:v>6877</x:v>
      </x:c>
      <x:c r="J20" s="24" t="n">
        <x:f>IF('Setup'!$B$22&gt;0,"",MIN(G20:I20))</x:f>
        <x:v>6877</x:v>
      </x:c>
      <x:c r="K20" s="24" t="n">
        <x:f>IF('Setup'!$B$22&gt;0,"",MIN(F20,J20))</x:f>
        <x:v>6877</x:v>
      </x:c>
      <x:c r="L20" s="24" t="n">
        <x:f>IF('Setup'!$B$22&gt;0,"",MAX(0,F20-K20))</x:f>
        <x:v>23923</x:v>
      </x:c>
      <x:c r="M20" s="23" t="n">
        <x:f>IF('Setup'!$B$22&gt;0,"",IF(J20=0,0,K20/J20))</x:f>
        <x:v>1</x:v>
      </x:c>
      <x:c r="N20" s="25" t="n">
        <x:f>IF('Setup'!$B$22&gt;0,"",SUM('Capacity'!Z48:Z50)*C20)</x:f>
        <x:v>11319.68</x:v>
      </x:c>
      <x:c r="O20" s="25" t="n">
        <x:f>IF('Setup'!$B$22&gt;0,"",SUM('Capacity'!Q48:Q50)*C20)</x:f>
        <x:v>1987.1999999999996</x:v>
      </x:c>
      <x:c r="P20" s="1" t="str">
        <x:f>IF('Setup'!$B$22&gt;0,"",IF(C20=0,"Closed",INDEX('Processes'!$A$6:$A$8,MATCH(J20,G20:I20,0))))</x:f>
        <x:v>Ship</x:v>
      </x:c>
      <x:c r="Q20" s="1" t="n">
        <x:f>IF('Setup'!$B$22&gt;0,"",IF(C20=0,0,MAX(0,ROUNDUP(F20/'Capacity'!X48-'Capacity'!Y48,0)-'Capacity'!G48)))</x:f>
        <x:v>78</x:v>
      </x:c>
      <x:c r="R20" s="1" t="n">
        <x:f>IF('Setup'!$B$22&gt;0,"",IF(C20=0,0,MAX(0,ROUNDUP(F20/'Capacity'!X49-'Capacity'!Y49,0)-'Capacity'!G49)))</x:f>
        <x:v>66</x:v>
      </x:c>
      <x:c r="S20" s="1" t="n">
        <x:f>IF('Setup'!$B$22&gt;0,"",IF(C20=0,0,MAX(0,ROUNDUP(F20/'Capacity'!X50-'Capacity'!Y50,0)-'Capacity'!G50)))</x:f>
        <x:v>41</x:v>
      </x:c>
      <x:c r="T20" s="1" t="str">
        <x:f>IF('Setup'!$B$22&gt;0,"",IF(C20=0,IF(L20&gt;'Setup'!$B$7,"Backlog on closed day","Closed"),IF(OR(V20&gt;0,W20&gt;0),"Resolve staffing limits",IF(U20&gt;0,"Resolve physical limit",IF(L20&gt;'Setup'!$B$7,"Close labor capacity gap",IF(L20&gt;0,"Backlog below threshold","Within daily capacity"))))))</x:f>
        <x:v>Resolve physical limit</x:v>
      </x:c>
      <x:c r="U20" s="1" t="n">
        <x:f>IF('Setup'!$B$22&gt;0,"",IF(C20=0,0,MAX(0,F20-INT(MIN('Capacity'!M48:M50)))))</x:f>
        <x:v>22800</x:v>
      </x:c>
      <x:c r="V20" s="1" t="n">
        <x:f>IF('Setup'!$B$22&gt;0,"",SUM('Capacity'!T48:T50)*C20)</x:f>
        <x:v>0</x:v>
      </x:c>
      <x:c r="W20" s="1" t="n">
        <x:f>IF('Setup'!$B$22&gt;0,"",SUM('Capacity'!W48:W50)*C20)</x:f>
        <x:v>0</x:v>
      </x:c>
    </x:row>
    <x:row r="21" ht="23" customHeight="1">
      <x:c r="A21" s="20" t="n">
        <x:f>IF('Setup'!$B$22&gt;0,"",'Demand'!A21)</x:f>
        <x:v>46315</x:v>
      </x:c>
      <x:c r="B21" s="1" t="n">
        <x:f>IF('Setup'!$B$22&gt;0,"",'Demand'!B21)</x:f>
        <x:v>3</x:v>
      </x:c>
      <x:c r="C21" s="1" t="n">
        <x:f>IF('Setup'!$B$22&gt;0,"",'Demand'!C21)</x:f>
        <x:v>1</x:v>
      </x:c>
      <x:c r="D21" s="24" t="n">
        <x:f>IF('Setup'!$B$22&gt;0,"",ROUND('Demand'!D21*'Setup'!B18,0))</x:f>
        <x:v>9600</x:v>
      </x:c>
      <x:c r="E21" s="24" t="n">
        <x:f>IF('Setup'!$B$22&gt;0,"",L20)</x:f>
        <x:v>23923</x:v>
      </x:c>
      <x:c r="F21" s="24" t="n">
        <x:f>IF('Setup'!$B$22&gt;0,"",D21+E21)</x:f>
        <x:v>33523</x:v>
      </x:c>
      <x:c r="G21" s="24" t="n">
        <x:f>IF('Setup'!$B$22&gt;0,"",'Capacity'!N48*C21)</x:f>
        <x:v>7774</x:v>
      </x:c>
      <x:c r="H21" s="24" t="n">
        <x:f>IF('Setup'!$B$22&gt;0,"",'Capacity'!N49*C21)</x:f>
        <x:v>7176</x:v>
      </x:c>
      <x:c r="I21" s="24" t="n">
        <x:f>IF('Setup'!$B$22&gt;0,"",'Capacity'!N50*C21)</x:f>
        <x:v>6877</x:v>
      </x:c>
      <x:c r="J21" s="24" t="n">
        <x:f>IF('Setup'!$B$22&gt;0,"",MIN(G21:I21))</x:f>
        <x:v>6877</x:v>
      </x:c>
      <x:c r="K21" s="24" t="n">
        <x:f>IF('Setup'!$B$22&gt;0,"",MIN(F21,J21))</x:f>
        <x:v>6877</x:v>
      </x:c>
      <x:c r="L21" s="24" t="n">
        <x:f>IF('Setup'!$B$22&gt;0,"",MAX(0,F21-K21))</x:f>
        <x:v>26646</x:v>
      </x:c>
      <x:c r="M21" s="23" t="n">
        <x:f>IF('Setup'!$B$22&gt;0,"",IF(J21=0,0,K21/J21))</x:f>
        <x:v>1</x:v>
      </x:c>
      <x:c r="N21" s="25" t="n">
        <x:f>IF('Setup'!$B$22&gt;0,"",SUM('Capacity'!Z48:Z50)*C21)</x:f>
        <x:v>11319.68</x:v>
      </x:c>
      <x:c r="O21" s="25" t="n">
        <x:f>IF('Setup'!$B$22&gt;0,"",SUM('Capacity'!Q48:Q50)*C21)</x:f>
        <x:v>1987.1999999999996</x:v>
      </x:c>
      <x:c r="P21" s="1" t="str">
        <x:f>IF('Setup'!$B$22&gt;0,"",IF(C21=0,"Closed",INDEX('Processes'!$A$6:$A$8,MATCH(J21,G21:I21,0))))</x:f>
        <x:v>Ship</x:v>
      </x:c>
      <x:c r="Q21" s="1" t="n">
        <x:f>IF('Setup'!$B$22&gt;0,"",IF(C21=0,0,MAX(0,ROUNDUP(F21/'Capacity'!X48-'Capacity'!Y48,0)-'Capacity'!G48)))</x:f>
        <x:v>87</x:v>
      </x:c>
      <x:c r="R21" s="1" t="n">
        <x:f>IF('Setup'!$B$22&gt;0,"",IF(C21=0,0,MAX(0,ROUNDUP(F21/'Capacity'!X49-'Capacity'!Y49,0)-'Capacity'!G49)))</x:f>
        <x:v>74</x:v>
      </x:c>
      <x:c r="S21" s="1" t="n">
        <x:f>IF('Setup'!$B$22&gt;0,"",IF(C21=0,0,MAX(0,ROUNDUP(F21/'Capacity'!X50-'Capacity'!Y50,0)-'Capacity'!G50)))</x:f>
        <x:v>45</x:v>
      </x:c>
      <x:c r="T21" s="1" t="str">
        <x:f>IF('Setup'!$B$22&gt;0,"",IF(C21=0,IF(L21&gt;'Setup'!$B$7,"Backlog on closed day","Closed"),IF(OR(V21&gt;0,W21&gt;0),"Resolve staffing limits",IF(U21&gt;0,"Resolve physical limit",IF(L21&gt;'Setup'!$B$7,"Close labor capacity gap",IF(L21&gt;0,"Backlog below threshold","Within daily capacity"))))))</x:f>
        <x:v>Resolve physical limit</x:v>
      </x:c>
      <x:c r="U21" s="1" t="n">
        <x:f>IF('Setup'!$B$22&gt;0,"",IF(C21=0,0,MAX(0,F21-INT(MIN('Capacity'!M48:M50)))))</x:f>
        <x:v>25523</x:v>
      </x:c>
      <x:c r="V21" s="1" t="n">
        <x:f>IF('Setup'!$B$22&gt;0,"",SUM('Capacity'!T48:T50)*C21)</x:f>
        <x:v>0</x:v>
      </x:c>
      <x:c r="W21" s="1" t="n">
        <x:f>IF('Setup'!$B$22&gt;0,"",SUM('Capacity'!W48:W50)*C21)</x:f>
        <x:v>0</x:v>
      </x:c>
    </x:row>
    <x:row r="22" ht="23" customHeight="1">
      <x:c r="A22" s="20" t="n">
        <x:f>IF('Setup'!$B$22&gt;0,"",'Demand'!A22)</x:f>
        <x:v>46316</x:v>
      </x:c>
      <x:c r="B22" s="1" t="n">
        <x:f>IF('Setup'!$B$22&gt;0,"",'Demand'!B22)</x:f>
        <x:v>3</x:v>
      </x:c>
      <x:c r="C22" s="1" t="n">
        <x:f>IF('Setup'!$B$22&gt;0,"",'Demand'!C22)</x:f>
        <x:v>1</x:v>
      </x:c>
      <x:c r="D22" s="24" t="n">
        <x:f>IF('Setup'!$B$22&gt;0,"",ROUND('Demand'!D22*'Setup'!B18,0))</x:f>
        <x:v>9600</x:v>
      </x:c>
      <x:c r="E22" s="24" t="n">
        <x:f>IF('Setup'!$B$22&gt;0,"",L21)</x:f>
        <x:v>26646</x:v>
      </x:c>
      <x:c r="F22" s="24" t="n">
        <x:f>IF('Setup'!$B$22&gt;0,"",D22+E22)</x:f>
        <x:v>36246</x:v>
      </x:c>
      <x:c r="G22" s="24" t="n">
        <x:f>IF('Setup'!$B$22&gt;0,"",'Capacity'!N48*C22)</x:f>
        <x:v>7774</x:v>
      </x:c>
      <x:c r="H22" s="24" t="n">
        <x:f>IF('Setup'!$B$22&gt;0,"",'Capacity'!N49*C22)</x:f>
        <x:v>7176</x:v>
      </x:c>
      <x:c r="I22" s="24" t="n">
        <x:f>IF('Setup'!$B$22&gt;0,"",'Capacity'!N50*C22)</x:f>
        <x:v>6877</x:v>
      </x:c>
      <x:c r="J22" s="24" t="n">
        <x:f>IF('Setup'!$B$22&gt;0,"",MIN(G22:I22))</x:f>
        <x:v>6877</x:v>
      </x:c>
      <x:c r="K22" s="24" t="n">
        <x:f>IF('Setup'!$B$22&gt;0,"",MIN(F22,J22))</x:f>
        <x:v>6877</x:v>
      </x:c>
      <x:c r="L22" s="24" t="n">
        <x:f>IF('Setup'!$B$22&gt;0,"",MAX(0,F22-K22))</x:f>
        <x:v>29369</x:v>
      </x:c>
      <x:c r="M22" s="23" t="n">
        <x:f>IF('Setup'!$B$22&gt;0,"",IF(J22=0,0,K22/J22))</x:f>
        <x:v>1</x:v>
      </x:c>
      <x:c r="N22" s="25" t="n">
        <x:f>IF('Setup'!$B$22&gt;0,"",SUM('Capacity'!Z48:Z50)*C22)</x:f>
        <x:v>11319.68</x:v>
      </x:c>
      <x:c r="O22" s="25" t="n">
        <x:f>IF('Setup'!$B$22&gt;0,"",SUM('Capacity'!Q48:Q50)*C22)</x:f>
        <x:v>1987.1999999999996</x:v>
      </x:c>
      <x:c r="P22" s="1" t="str">
        <x:f>IF('Setup'!$B$22&gt;0,"",IF(C22=0,"Closed",INDEX('Processes'!$A$6:$A$8,MATCH(J22,G22:I22,0))))</x:f>
        <x:v>Ship</x:v>
      </x:c>
      <x:c r="Q22" s="1" t="n">
        <x:f>IF('Setup'!$B$22&gt;0,"",IF(C22=0,0,MAX(0,ROUNDUP(F22/'Capacity'!X48-'Capacity'!Y48,0)-'Capacity'!G48)))</x:f>
        <x:v>96</x:v>
      </x:c>
      <x:c r="R22" s="1" t="n">
        <x:f>IF('Setup'!$B$22&gt;0,"",IF(C22=0,0,MAX(0,ROUNDUP(F22/'Capacity'!X49-'Capacity'!Y49,0)-'Capacity'!G49)))</x:f>
        <x:v>82</x:v>
      </x:c>
      <x:c r="S22" s="1" t="n">
        <x:f>IF('Setup'!$B$22&gt;0,"",IF(C22=0,0,MAX(0,ROUNDUP(F22/'Capacity'!X50-'Capacity'!Y50,0)-'Capacity'!G50)))</x:f>
        <x:v>50</x:v>
      </x:c>
      <x:c r="T22" s="1" t="str">
        <x:f>IF('Setup'!$B$22&gt;0,"",IF(C22=0,IF(L22&gt;'Setup'!$B$7,"Backlog on closed day","Closed"),IF(OR(V22&gt;0,W22&gt;0),"Resolve staffing limits",IF(U22&gt;0,"Resolve physical limit",IF(L22&gt;'Setup'!$B$7,"Close labor capacity gap",IF(L22&gt;0,"Backlog below threshold","Within daily capacity"))))))</x:f>
        <x:v>Resolve physical limit</x:v>
      </x:c>
      <x:c r="U22" s="1" t="n">
        <x:f>IF('Setup'!$B$22&gt;0,"",IF(C22=0,0,MAX(0,F22-INT(MIN('Capacity'!M48:M50)))))</x:f>
        <x:v>28246</x:v>
      </x:c>
      <x:c r="V22" s="1" t="n">
        <x:f>IF('Setup'!$B$22&gt;0,"",SUM('Capacity'!T48:T50)*C22)</x:f>
        <x:v>0</x:v>
      </x:c>
      <x:c r="W22" s="1" t="n">
        <x:f>IF('Setup'!$B$22&gt;0,"",SUM('Capacity'!W48:W50)*C22)</x:f>
        <x:v>0</x:v>
      </x:c>
    </x:row>
    <x:row r="23" ht="23" customHeight="1">
      <x:c r="A23" s="20" t="n">
        <x:f>IF('Setup'!$B$22&gt;0,"",'Demand'!A23)</x:f>
        <x:v>46317</x:v>
      </x:c>
      <x:c r="B23" s="1" t="n">
        <x:f>IF('Setup'!$B$22&gt;0,"",'Demand'!B23)</x:f>
        <x:v>3</x:v>
      </x:c>
      <x:c r="C23" s="1" t="n">
        <x:f>IF('Setup'!$B$22&gt;0,"",'Demand'!C23)</x:f>
        <x:v>1</x:v>
      </x:c>
      <x:c r="D23" s="24" t="n">
        <x:f>IF('Setup'!$B$22&gt;0,"",ROUND('Demand'!D23*'Setup'!B18,0))</x:f>
        <x:v>9600</x:v>
      </x:c>
      <x:c r="E23" s="24" t="n">
        <x:f>IF('Setup'!$B$22&gt;0,"",L22)</x:f>
        <x:v>29369</x:v>
      </x:c>
      <x:c r="F23" s="24" t="n">
        <x:f>IF('Setup'!$B$22&gt;0,"",D23+E23)</x:f>
        <x:v>38969</x:v>
      </x:c>
      <x:c r="G23" s="24" t="n">
        <x:f>IF('Setup'!$B$22&gt;0,"",'Capacity'!N48*C23)</x:f>
        <x:v>7774</x:v>
      </x:c>
      <x:c r="H23" s="24" t="n">
        <x:f>IF('Setup'!$B$22&gt;0,"",'Capacity'!N49*C23)</x:f>
        <x:v>7176</x:v>
      </x:c>
      <x:c r="I23" s="24" t="n">
        <x:f>IF('Setup'!$B$22&gt;0,"",'Capacity'!N50*C23)</x:f>
        <x:v>6877</x:v>
      </x:c>
      <x:c r="J23" s="24" t="n">
        <x:f>IF('Setup'!$B$22&gt;0,"",MIN(G23:I23))</x:f>
        <x:v>6877</x:v>
      </x:c>
      <x:c r="K23" s="24" t="n">
        <x:f>IF('Setup'!$B$22&gt;0,"",MIN(F23,J23))</x:f>
        <x:v>6877</x:v>
      </x:c>
      <x:c r="L23" s="24" t="n">
        <x:f>IF('Setup'!$B$22&gt;0,"",MAX(0,F23-K23))</x:f>
        <x:v>32092</x:v>
      </x:c>
      <x:c r="M23" s="23" t="n">
        <x:f>IF('Setup'!$B$22&gt;0,"",IF(J23=0,0,K23/J23))</x:f>
        <x:v>1</x:v>
      </x:c>
      <x:c r="N23" s="25" t="n">
        <x:f>IF('Setup'!$B$22&gt;0,"",SUM('Capacity'!Z48:Z50)*C23)</x:f>
        <x:v>11319.68</x:v>
      </x:c>
      <x:c r="O23" s="25" t="n">
        <x:f>IF('Setup'!$B$22&gt;0,"",SUM('Capacity'!Q48:Q50)*C23)</x:f>
        <x:v>1987.1999999999996</x:v>
      </x:c>
      <x:c r="P23" s="1" t="str">
        <x:f>IF('Setup'!$B$22&gt;0,"",IF(C23=0,"Closed",INDEX('Processes'!$A$6:$A$8,MATCH(J23,G23:I23,0))))</x:f>
        <x:v>Ship</x:v>
      </x:c>
      <x:c r="Q23" s="1" t="n">
        <x:f>IF('Setup'!$B$22&gt;0,"",IF(C23=0,0,MAX(0,ROUNDUP(F23/'Capacity'!X48-'Capacity'!Y48,0)-'Capacity'!G48)))</x:f>
        <x:v>105</x:v>
      </x:c>
      <x:c r="R23" s="1" t="n">
        <x:f>IF('Setup'!$B$22&gt;0,"",IF(C23=0,0,MAX(0,ROUNDUP(F23/'Capacity'!X49-'Capacity'!Y49,0)-'Capacity'!G49)))</x:f>
        <x:v>89</x:v>
      </x:c>
      <x:c r="S23" s="1" t="n">
        <x:f>IF('Setup'!$B$22&gt;0,"",IF(C23=0,0,MAX(0,ROUNDUP(F23/'Capacity'!X50-'Capacity'!Y50,0)-'Capacity'!G50)))</x:f>
        <x:v>54</x:v>
      </x:c>
      <x:c r="T23" s="1" t="str">
        <x:f>IF('Setup'!$B$22&gt;0,"",IF(C23=0,IF(L23&gt;'Setup'!$B$7,"Backlog on closed day","Closed"),IF(OR(V23&gt;0,W23&gt;0),"Resolve staffing limits",IF(U23&gt;0,"Resolve physical limit",IF(L23&gt;'Setup'!$B$7,"Close labor capacity gap",IF(L23&gt;0,"Backlog below threshold","Within daily capacity"))))))</x:f>
        <x:v>Resolve physical limit</x:v>
      </x:c>
      <x:c r="U23" s="1" t="n">
        <x:f>IF('Setup'!$B$22&gt;0,"",IF(C23=0,0,MAX(0,F23-INT(MIN('Capacity'!M48:M50)))))</x:f>
        <x:v>30969</x:v>
      </x:c>
      <x:c r="V23" s="1" t="n">
        <x:f>IF('Setup'!$B$22&gt;0,"",SUM('Capacity'!T48:T50)*C23)</x:f>
        <x:v>0</x:v>
      </x:c>
      <x:c r="W23" s="1" t="n">
        <x:f>IF('Setup'!$B$22&gt;0,"",SUM('Capacity'!W48:W50)*C23)</x:f>
        <x:v>0</x:v>
      </x:c>
    </x:row>
    <x:row r="24" ht="23" customHeight="1">
      <x:c r="A24" s="20" t="n">
        <x:f>IF('Setup'!$B$22&gt;0,"",'Demand'!A24)</x:f>
        <x:v>46318</x:v>
      </x:c>
      <x:c r="B24" s="1" t="n">
        <x:f>IF('Setup'!$B$22&gt;0,"",'Demand'!B24)</x:f>
        <x:v>3</x:v>
      </x:c>
      <x:c r="C24" s="1" t="n">
        <x:f>IF('Setup'!$B$22&gt;0,"",'Demand'!C24)</x:f>
        <x:v>1</x:v>
      </x:c>
      <x:c r="D24" s="24" t="n">
        <x:f>IF('Setup'!$B$22&gt;0,"",ROUND('Demand'!D24*'Setup'!B18,0))</x:f>
        <x:v>9600</x:v>
      </x:c>
      <x:c r="E24" s="24" t="n">
        <x:f>IF('Setup'!$B$22&gt;0,"",L23)</x:f>
        <x:v>32092</x:v>
      </x:c>
      <x:c r="F24" s="24" t="n">
        <x:f>IF('Setup'!$B$22&gt;0,"",D24+E24)</x:f>
        <x:v>41692</x:v>
      </x:c>
      <x:c r="G24" s="24" t="n">
        <x:f>IF('Setup'!$B$22&gt;0,"",'Capacity'!N48*C24)</x:f>
        <x:v>7774</x:v>
      </x:c>
      <x:c r="H24" s="24" t="n">
        <x:f>IF('Setup'!$B$22&gt;0,"",'Capacity'!N49*C24)</x:f>
        <x:v>7176</x:v>
      </x:c>
      <x:c r="I24" s="24" t="n">
        <x:f>IF('Setup'!$B$22&gt;0,"",'Capacity'!N50*C24)</x:f>
        <x:v>6877</x:v>
      </x:c>
      <x:c r="J24" s="24" t="n">
        <x:f>IF('Setup'!$B$22&gt;0,"",MIN(G24:I24))</x:f>
        <x:v>6877</x:v>
      </x:c>
      <x:c r="K24" s="24" t="n">
        <x:f>IF('Setup'!$B$22&gt;0,"",MIN(F24,J24))</x:f>
        <x:v>6877</x:v>
      </x:c>
      <x:c r="L24" s="24" t="n">
        <x:f>IF('Setup'!$B$22&gt;0,"",MAX(0,F24-K24))</x:f>
        <x:v>34815</x:v>
      </x:c>
      <x:c r="M24" s="23" t="n">
        <x:f>IF('Setup'!$B$22&gt;0,"",IF(J24=0,0,K24/J24))</x:f>
        <x:v>1</x:v>
      </x:c>
      <x:c r="N24" s="25" t="n">
        <x:f>IF('Setup'!$B$22&gt;0,"",SUM('Capacity'!Z48:Z50)*C24)</x:f>
        <x:v>11319.68</x:v>
      </x:c>
      <x:c r="O24" s="25" t="n">
        <x:f>IF('Setup'!$B$22&gt;0,"",SUM('Capacity'!Q48:Q50)*C24)</x:f>
        <x:v>1987.1999999999996</x:v>
      </x:c>
      <x:c r="P24" s="1" t="str">
        <x:f>IF('Setup'!$B$22&gt;0,"",IF(C24=0,"Closed",INDEX('Processes'!$A$6:$A$8,MATCH(J24,G24:I24,0))))</x:f>
        <x:v>Ship</x:v>
      </x:c>
      <x:c r="Q24" s="1" t="n">
        <x:f>IF('Setup'!$B$22&gt;0,"",IF(C24=0,0,MAX(0,ROUNDUP(F24/'Capacity'!X48-'Capacity'!Y48,0)-'Capacity'!G48)))</x:f>
        <x:v>114</x:v>
      </x:c>
      <x:c r="R24" s="1" t="n">
        <x:f>IF('Setup'!$B$22&gt;0,"",IF(C24=0,0,MAX(0,ROUNDUP(F24/'Capacity'!X49-'Capacity'!Y49,0)-'Capacity'!G49)))</x:f>
        <x:v>97</x:v>
      </x:c>
      <x:c r="S24" s="1" t="n">
        <x:f>IF('Setup'!$B$22&gt;0,"",IF(C24=0,0,MAX(0,ROUNDUP(F24/'Capacity'!X50-'Capacity'!Y50,0)-'Capacity'!G50)))</x:f>
        <x:v>59</x:v>
      </x:c>
      <x:c r="T24" s="1" t="str">
        <x:f>IF('Setup'!$B$22&gt;0,"",IF(C24=0,IF(L24&gt;'Setup'!$B$7,"Backlog on closed day","Closed"),IF(OR(V24&gt;0,W24&gt;0),"Resolve staffing limits",IF(U24&gt;0,"Resolve physical limit",IF(L24&gt;'Setup'!$B$7,"Close labor capacity gap",IF(L24&gt;0,"Backlog below threshold","Within daily capacity"))))))</x:f>
        <x:v>Resolve physical limit</x:v>
      </x:c>
      <x:c r="U24" s="1" t="n">
        <x:f>IF('Setup'!$B$22&gt;0,"",IF(C24=0,0,MAX(0,F24-INT(MIN('Capacity'!M48:M50)))))</x:f>
        <x:v>33692</x:v>
      </x:c>
      <x:c r="V24" s="1" t="n">
        <x:f>IF('Setup'!$B$22&gt;0,"",SUM('Capacity'!T48:T50)*C24)</x:f>
        <x:v>0</x:v>
      </x:c>
      <x:c r="W24" s="1" t="n">
        <x:f>IF('Setup'!$B$22&gt;0,"",SUM('Capacity'!W48:W50)*C24)</x:f>
        <x:v>0</x:v>
      </x:c>
    </x:row>
    <x:row r="25" ht="23" customHeight="1">
      <x:c r="A25" s="20" t="n">
        <x:f>IF('Setup'!$B$22&gt;0,"",'Demand'!A25)</x:f>
        <x:v>46319</x:v>
      </x:c>
      <x:c r="B25" s="1" t="n">
        <x:f>IF('Setup'!$B$22&gt;0,"",'Demand'!B25)</x:f>
        <x:v>3</x:v>
      </x:c>
      <x:c r="C25" s="1" t="n">
        <x:f>IF('Setup'!$B$22&gt;0,"",'Demand'!C25)</x:f>
        <x:v>0</x:v>
      </x:c>
      <x:c r="D25" s="24" t="n">
        <x:f>IF('Setup'!$B$22&gt;0,"",ROUND('Demand'!D25*'Setup'!B18,0))</x:f>
        <x:v>0</x:v>
      </x:c>
      <x:c r="E25" s="24" t="n">
        <x:f>IF('Setup'!$B$22&gt;0,"",L24)</x:f>
        <x:v>34815</x:v>
      </x:c>
      <x:c r="F25" s="24" t="n">
        <x:f>IF('Setup'!$B$22&gt;0,"",D25+E25)</x:f>
        <x:v>34815</x:v>
      </x:c>
      <x:c r="G25" s="24" t="n">
        <x:f>IF('Setup'!$B$22&gt;0,"",'Capacity'!N48*C25)</x:f>
        <x:v>0</x:v>
      </x:c>
      <x:c r="H25" s="24" t="n">
        <x:f>IF('Setup'!$B$22&gt;0,"",'Capacity'!N49*C25)</x:f>
        <x:v>0</x:v>
      </x:c>
      <x:c r="I25" s="24" t="n">
        <x:f>IF('Setup'!$B$22&gt;0,"",'Capacity'!N50*C25)</x:f>
        <x:v>0</x:v>
      </x:c>
      <x:c r="J25" s="24" t="n">
        <x:f>IF('Setup'!$B$22&gt;0,"",MIN(G25:I25))</x:f>
        <x:v>0</x:v>
      </x:c>
      <x:c r="K25" s="24" t="n">
        <x:f>IF('Setup'!$B$22&gt;0,"",MIN(F25,J25))</x:f>
        <x:v>0</x:v>
      </x:c>
      <x:c r="L25" s="24" t="n">
        <x:f>IF('Setup'!$B$22&gt;0,"",MAX(0,F25-K25))</x:f>
        <x:v>34815</x:v>
      </x:c>
      <x:c r="M25" s="23" t="n">
        <x:f>IF('Setup'!$B$22&gt;0,"",IF(J25=0,0,K25/J25))</x:f>
        <x:v>0</x:v>
      </x:c>
      <x:c r="N25" s="25" t="n">
        <x:f>IF('Setup'!$B$22&gt;0,"",SUM('Capacity'!Z48:Z50)*C25)</x:f>
        <x:v>0</x:v>
      </x:c>
      <x:c r="O25" s="25" t="n">
        <x:f>IF('Setup'!$B$22&gt;0,"",SUM('Capacity'!Q48:Q50)*C25)</x:f>
        <x:v>0</x:v>
      </x:c>
      <x:c r="P25" s="1" t="str">
        <x:f>IF('Setup'!$B$22&gt;0,"",IF(C25=0,"Closed",INDEX('Processes'!$A$6:$A$8,MATCH(J25,G25:I25,0))))</x:f>
        <x:v>Closed</x:v>
      </x:c>
      <x:c r="Q25" s="1" t="n">
        <x:f>IF('Setup'!$B$22&gt;0,"",IF(C25=0,0,MAX(0,ROUNDUP(F25/'Capacity'!X48-'Capacity'!Y48,0)-'Capacity'!G48)))</x:f>
        <x:v>0</x:v>
      </x:c>
      <x:c r="R25" s="1" t="n">
        <x:f>IF('Setup'!$B$22&gt;0,"",IF(C25=0,0,MAX(0,ROUNDUP(F25/'Capacity'!X49-'Capacity'!Y49,0)-'Capacity'!G49)))</x:f>
        <x:v>0</x:v>
      </x:c>
      <x:c r="S25" s="1" t="n">
        <x:f>IF('Setup'!$B$22&gt;0,"",IF(C25=0,0,MAX(0,ROUNDUP(F25/'Capacity'!X50-'Capacity'!Y50,0)-'Capacity'!G50)))</x:f>
        <x:v>0</x:v>
      </x:c>
      <x:c r="T25" s="1" t="str">
        <x:f>IF('Setup'!$B$22&gt;0,"",IF(C25=0,IF(L25&gt;'Setup'!$B$7,"Backlog on closed day","Closed"),IF(OR(V25&gt;0,W25&gt;0),"Resolve staffing limits",IF(U25&gt;0,"Resolve physical limit",IF(L25&gt;'Setup'!$B$7,"Close labor capacity gap",IF(L25&gt;0,"Backlog below threshold","Within daily capacity"))))))</x:f>
        <x:v>Backlog on closed day</x:v>
      </x:c>
      <x:c r="U25" s="1" t="n">
        <x:f>IF('Setup'!$B$22&gt;0,"",IF(C25=0,0,MAX(0,F25-INT(MIN('Capacity'!M48:M50)))))</x:f>
        <x:v>0</x:v>
      </x:c>
      <x:c r="V25" s="1" t="n">
        <x:f>IF('Setup'!$B$22&gt;0,"",SUM('Capacity'!T48:T50)*C25)</x:f>
        <x:v>0</x:v>
      </x:c>
      <x:c r="W25" s="1" t="n">
        <x:f>IF('Setup'!$B$22&gt;0,"",SUM('Capacity'!W48:W50)*C25)</x:f>
        <x:v>0</x:v>
      </x:c>
    </x:row>
    <x:row r="26" ht="23" customHeight="1">
      <x:c r="A26" s="20" t="n">
        <x:f>IF('Setup'!$B$22&gt;0,"",'Demand'!A26)</x:f>
        <x:v>46320</x:v>
      </x:c>
      <x:c r="B26" s="1" t="n">
        <x:f>IF('Setup'!$B$22&gt;0,"",'Demand'!B26)</x:f>
        <x:v>3</x:v>
      </x:c>
      <x:c r="C26" s="1" t="n">
        <x:f>IF('Setup'!$B$22&gt;0,"",'Demand'!C26)</x:f>
        <x:v>0</x:v>
      </x:c>
      <x:c r="D26" s="24" t="n">
        <x:f>IF('Setup'!$B$22&gt;0,"",ROUND('Demand'!D26*'Setup'!B18,0))</x:f>
        <x:v>0</x:v>
      </x:c>
      <x:c r="E26" s="24" t="n">
        <x:f>IF('Setup'!$B$22&gt;0,"",L25)</x:f>
        <x:v>34815</x:v>
      </x:c>
      <x:c r="F26" s="24" t="n">
        <x:f>IF('Setup'!$B$22&gt;0,"",D26+E26)</x:f>
        <x:v>34815</x:v>
      </x:c>
      <x:c r="G26" s="24" t="n">
        <x:f>IF('Setup'!$B$22&gt;0,"",'Capacity'!N48*C26)</x:f>
        <x:v>0</x:v>
      </x:c>
      <x:c r="H26" s="24" t="n">
        <x:f>IF('Setup'!$B$22&gt;0,"",'Capacity'!N49*C26)</x:f>
        <x:v>0</x:v>
      </x:c>
      <x:c r="I26" s="24" t="n">
        <x:f>IF('Setup'!$B$22&gt;0,"",'Capacity'!N50*C26)</x:f>
        <x:v>0</x:v>
      </x:c>
      <x:c r="J26" s="24" t="n">
        <x:f>IF('Setup'!$B$22&gt;0,"",MIN(G26:I26))</x:f>
        <x:v>0</x:v>
      </x:c>
      <x:c r="K26" s="24" t="n">
        <x:f>IF('Setup'!$B$22&gt;0,"",MIN(F26,J26))</x:f>
        <x:v>0</x:v>
      </x:c>
      <x:c r="L26" s="24" t="n">
        <x:f>IF('Setup'!$B$22&gt;0,"",MAX(0,F26-K26))</x:f>
        <x:v>34815</x:v>
      </x:c>
      <x:c r="M26" s="23" t="n">
        <x:f>IF('Setup'!$B$22&gt;0,"",IF(J26=0,0,K26/J26))</x:f>
        <x:v>0</x:v>
      </x:c>
      <x:c r="N26" s="25" t="n">
        <x:f>IF('Setup'!$B$22&gt;0,"",SUM('Capacity'!Z48:Z50)*C26)</x:f>
        <x:v>0</x:v>
      </x:c>
      <x:c r="O26" s="25" t="n">
        <x:f>IF('Setup'!$B$22&gt;0,"",SUM('Capacity'!Q48:Q50)*C26)</x:f>
        <x:v>0</x:v>
      </x:c>
      <x:c r="P26" s="1" t="str">
        <x:f>IF('Setup'!$B$22&gt;0,"",IF(C26=0,"Closed",INDEX('Processes'!$A$6:$A$8,MATCH(J26,G26:I26,0))))</x:f>
        <x:v>Closed</x:v>
      </x:c>
      <x:c r="Q26" s="1" t="n">
        <x:f>IF('Setup'!$B$22&gt;0,"",IF(C26=0,0,MAX(0,ROUNDUP(F26/'Capacity'!X48-'Capacity'!Y48,0)-'Capacity'!G48)))</x:f>
        <x:v>0</x:v>
      </x:c>
      <x:c r="R26" s="1" t="n">
        <x:f>IF('Setup'!$B$22&gt;0,"",IF(C26=0,0,MAX(0,ROUNDUP(F26/'Capacity'!X49-'Capacity'!Y49,0)-'Capacity'!G49)))</x:f>
        <x:v>0</x:v>
      </x:c>
      <x:c r="S26" s="1" t="n">
        <x:f>IF('Setup'!$B$22&gt;0,"",IF(C26=0,0,MAX(0,ROUNDUP(F26/'Capacity'!X50-'Capacity'!Y50,0)-'Capacity'!G50)))</x:f>
        <x:v>0</x:v>
      </x:c>
      <x:c r="T26" s="1" t="str">
        <x:f>IF('Setup'!$B$22&gt;0,"",IF(C26=0,IF(L26&gt;'Setup'!$B$7,"Backlog on closed day","Closed"),IF(OR(V26&gt;0,W26&gt;0),"Resolve staffing limits",IF(U26&gt;0,"Resolve physical limit",IF(L26&gt;'Setup'!$B$7,"Close labor capacity gap",IF(L26&gt;0,"Backlog below threshold","Within daily capacity"))))))</x:f>
        <x:v>Backlog on closed day</x:v>
      </x:c>
      <x:c r="U26" s="1" t="n">
        <x:f>IF('Setup'!$B$22&gt;0,"",IF(C26=0,0,MAX(0,F26-INT(MIN('Capacity'!M48:M50)))))</x:f>
        <x:v>0</x:v>
      </x:c>
      <x:c r="V26" s="1" t="n">
        <x:f>IF('Setup'!$B$22&gt;0,"",SUM('Capacity'!T48:T50)*C26)</x:f>
        <x:v>0</x:v>
      </x:c>
      <x:c r="W26" s="1" t="n">
        <x:f>IF('Setup'!$B$22&gt;0,"",SUM('Capacity'!W48:W50)*C26)</x:f>
        <x:v>0</x:v>
      </x:c>
    </x:row>
    <x:row r="27" ht="23" customHeight="1">
      <x:c r="A27" s="20" t="n">
        <x:f>IF('Setup'!$B$22&gt;0,"",'Demand'!A27)</x:f>
        <x:v>46321</x:v>
      </x:c>
      <x:c r="B27" s="1" t="n">
        <x:f>IF('Setup'!$B$22&gt;0,"",'Demand'!B27)</x:f>
        <x:v>4</x:v>
      </x:c>
      <x:c r="C27" s="1" t="n">
        <x:f>IF('Setup'!$B$22&gt;0,"",'Demand'!C27)</x:f>
        <x:v>1</x:v>
      </x:c>
      <x:c r="D27" s="24" t="n">
        <x:f>IF('Setup'!$B$22&gt;0,"",ROUND('Demand'!D27*'Setup'!B18,0))</x:f>
        <x:v>10200</x:v>
      </x:c>
      <x:c r="E27" s="24" t="n">
        <x:f>IF('Setup'!$B$22&gt;0,"",L26)</x:f>
        <x:v>34815</x:v>
      </x:c>
      <x:c r="F27" s="24" t="n">
        <x:f>IF('Setup'!$B$22&gt;0,"",D27+E27)</x:f>
        <x:v>45015</x:v>
      </x:c>
      <x:c r="G27" s="24" t="n">
        <x:f>IF('Setup'!$B$22&gt;0,"",'Capacity'!N51*C27)</x:f>
        <x:v>7953</x:v>
      </x:c>
      <x:c r="H27" s="24" t="n">
        <x:f>IF('Setup'!$B$22&gt;0,"",'Capacity'!N52*C27)</x:f>
        <x:v>7391</x:v>
      </x:c>
      <x:c r="I27" s="24" t="n">
        <x:f>IF('Setup'!$B$22&gt;0,"",'Capacity'!N53*C27)</x:f>
        <x:v>7146</x:v>
      </x:c>
      <x:c r="J27" s="24" t="n">
        <x:f>IF('Setup'!$B$22&gt;0,"",MIN(G27:I27))</x:f>
        <x:v>7146</x:v>
      </x:c>
      <x:c r="K27" s="24" t="n">
        <x:f>IF('Setup'!$B$22&gt;0,"",MIN(F27,J27))</x:f>
        <x:v>7146</x:v>
      </x:c>
      <x:c r="L27" s="24" t="n">
        <x:f>IF('Setup'!$B$22&gt;0,"",MAX(0,F27-K27))</x:f>
        <x:v>37869</x:v>
      </x:c>
      <x:c r="M27" s="23" t="n">
        <x:f>IF('Setup'!$B$22&gt;0,"",IF(J27=0,0,K27/J27))</x:f>
        <x:v>1</x:v>
      </x:c>
      <x:c r="N27" s="25" t="n">
        <x:f>IF('Setup'!$B$22&gt;0,"",SUM('Capacity'!Z51:Z53)*C27)</x:f>
        <x:v>11319.68</x:v>
      </x:c>
      <x:c r="O27" s="25" t="n">
        <x:f>IF('Setup'!$B$22&gt;0,"",SUM('Capacity'!Q51:Q53)*C27)</x:f>
        <x:v>1987.1999999999996</x:v>
      </x:c>
      <x:c r="P27" s="1" t="str">
        <x:f>IF('Setup'!$B$22&gt;0,"",IF(C27=0,"Closed",INDEX('Processes'!$A$6:$A$8,MATCH(J27,G27:I27,0))))</x:f>
        <x:v>Ship</x:v>
      </x:c>
      <x:c r="Q27" s="1" t="n">
        <x:f>IF('Setup'!$B$22&gt;0,"",IF(C27=0,0,MAX(0,ROUNDUP(F27/'Capacity'!X51-'Capacity'!Y51,0)-'Capacity'!G51)))</x:f>
        <x:v>124</x:v>
      </x:c>
      <x:c r="R27" s="1" t="n">
        <x:f>IF('Setup'!$B$22&gt;0,"",IF(C27=0,0,MAX(0,ROUNDUP(F27/'Capacity'!X52-'Capacity'!Y52,0)-'Capacity'!G52)))</x:f>
        <x:v>105</x:v>
      </x:c>
      <x:c r="S27" s="1" t="n">
        <x:f>IF('Setup'!$B$22&gt;0,"",IF(C27=0,0,MAX(0,ROUNDUP(F27/'Capacity'!X53-'Capacity'!Y53,0)-'Capacity'!G53)))</x:f>
        <x:v>64</x:v>
      </x:c>
      <x:c r="T27" s="1" t="str">
        <x:f>IF('Setup'!$B$22&gt;0,"",IF(C27=0,IF(L27&gt;'Setup'!$B$7,"Backlog on closed day","Closed"),IF(OR(V27&gt;0,W27&gt;0),"Resolve staffing limits",IF(U27&gt;0,"Resolve physical limit",IF(L27&gt;'Setup'!$B$7,"Close labor capacity gap",IF(L27&gt;0,"Backlog below threshold","Within daily capacity"))))))</x:f>
        <x:v>Resolve physical limit</x:v>
      </x:c>
      <x:c r="U27" s="1" t="n">
        <x:f>IF('Setup'!$B$22&gt;0,"",IF(C27=0,0,MAX(0,F27-INT(MIN('Capacity'!M51:M53)))))</x:f>
        <x:v>37015</x:v>
      </x:c>
      <x:c r="V27" s="1" t="n">
        <x:f>IF('Setup'!$B$22&gt;0,"",SUM('Capacity'!T51:T53)*C27)</x:f>
        <x:v>0</x:v>
      </x:c>
      <x:c r="W27" s="1" t="n">
        <x:f>IF('Setup'!$B$22&gt;0,"",SUM('Capacity'!W51:W53)*C27)</x:f>
        <x:v>0</x:v>
      </x:c>
    </x:row>
    <x:row r="28" ht="23" customHeight="1">
      <x:c r="A28" s="20" t="n">
        <x:f>IF('Setup'!$B$22&gt;0,"",'Demand'!A28)</x:f>
        <x:v>46322</x:v>
      </x:c>
      <x:c r="B28" s="1" t="n">
        <x:f>IF('Setup'!$B$22&gt;0,"",'Demand'!B28)</x:f>
        <x:v>4</x:v>
      </x:c>
      <x:c r="C28" s="1" t="n">
        <x:f>IF('Setup'!$B$22&gt;0,"",'Demand'!C28)</x:f>
        <x:v>1</x:v>
      </x:c>
      <x:c r="D28" s="24" t="n">
        <x:f>IF('Setup'!$B$22&gt;0,"",ROUND('Demand'!D28*'Setup'!B18,0))</x:f>
        <x:v>10200</x:v>
      </x:c>
      <x:c r="E28" s="24" t="n">
        <x:f>IF('Setup'!$B$22&gt;0,"",L27)</x:f>
        <x:v>37869</x:v>
      </x:c>
      <x:c r="F28" s="24" t="n">
        <x:f>IF('Setup'!$B$22&gt;0,"",D28+E28)</x:f>
        <x:v>48069</x:v>
      </x:c>
      <x:c r="G28" s="24" t="n">
        <x:f>IF('Setup'!$B$22&gt;0,"",'Capacity'!N51*C28)</x:f>
        <x:v>7953</x:v>
      </x:c>
      <x:c r="H28" s="24" t="n">
        <x:f>IF('Setup'!$B$22&gt;0,"",'Capacity'!N52*C28)</x:f>
        <x:v>7391</x:v>
      </x:c>
      <x:c r="I28" s="24" t="n">
        <x:f>IF('Setup'!$B$22&gt;0,"",'Capacity'!N53*C28)</x:f>
        <x:v>7146</x:v>
      </x:c>
      <x:c r="J28" s="24" t="n">
        <x:f>IF('Setup'!$B$22&gt;0,"",MIN(G28:I28))</x:f>
        <x:v>7146</x:v>
      </x:c>
      <x:c r="K28" s="24" t="n">
        <x:f>IF('Setup'!$B$22&gt;0,"",MIN(F28,J28))</x:f>
        <x:v>7146</x:v>
      </x:c>
      <x:c r="L28" s="24" t="n">
        <x:f>IF('Setup'!$B$22&gt;0,"",MAX(0,F28-K28))</x:f>
        <x:v>40923</x:v>
      </x:c>
      <x:c r="M28" s="23" t="n">
        <x:f>IF('Setup'!$B$22&gt;0,"",IF(J28=0,0,K28/J28))</x:f>
        <x:v>1</x:v>
      </x:c>
      <x:c r="N28" s="25" t="n">
        <x:f>IF('Setup'!$B$22&gt;0,"",SUM('Capacity'!Z51:Z53)*C28)</x:f>
        <x:v>11319.68</x:v>
      </x:c>
      <x:c r="O28" s="25" t="n">
        <x:f>IF('Setup'!$B$22&gt;0,"",SUM('Capacity'!Q51:Q53)*C28)</x:f>
        <x:v>1987.1999999999996</x:v>
      </x:c>
      <x:c r="P28" s="1" t="str">
        <x:f>IF('Setup'!$B$22&gt;0,"",IF(C28=0,"Closed",INDEX('Processes'!$A$6:$A$8,MATCH(J28,G28:I28,0))))</x:f>
        <x:v>Ship</x:v>
      </x:c>
      <x:c r="Q28" s="1" t="n">
        <x:f>IF('Setup'!$B$22&gt;0,"",IF(C28=0,0,MAX(0,ROUNDUP(F28/'Capacity'!X51-'Capacity'!Y51,0)-'Capacity'!G51)))</x:f>
        <x:v>135</x:v>
      </x:c>
      <x:c r="R28" s="1" t="n">
        <x:f>IF('Setup'!$B$22&gt;0,"",IF(C28=0,0,MAX(0,ROUNDUP(F28/'Capacity'!X52-'Capacity'!Y52,0)-'Capacity'!G52)))</x:f>
        <x:v>114</x:v>
      </x:c>
      <x:c r="S28" s="1" t="n">
        <x:f>IF('Setup'!$B$22&gt;0,"",IF(C28=0,0,MAX(0,ROUNDUP(F28/'Capacity'!X53-'Capacity'!Y53,0)-'Capacity'!G53)))</x:f>
        <x:v>69</x:v>
      </x:c>
      <x:c r="T28" s="1" t="str">
        <x:f>IF('Setup'!$B$22&gt;0,"",IF(C28=0,IF(L28&gt;'Setup'!$B$7,"Backlog on closed day","Closed"),IF(OR(V28&gt;0,W28&gt;0),"Resolve staffing limits",IF(U28&gt;0,"Resolve physical limit",IF(L28&gt;'Setup'!$B$7,"Close labor capacity gap",IF(L28&gt;0,"Backlog below threshold","Within daily capacity"))))))</x:f>
        <x:v>Resolve physical limit</x:v>
      </x:c>
      <x:c r="U28" s="1" t="n">
        <x:f>IF('Setup'!$B$22&gt;0,"",IF(C28=0,0,MAX(0,F28-INT(MIN('Capacity'!M51:M53)))))</x:f>
        <x:v>40069</x:v>
      </x:c>
      <x:c r="V28" s="1" t="n">
        <x:f>IF('Setup'!$B$22&gt;0,"",SUM('Capacity'!T51:T53)*C28)</x:f>
        <x:v>0</x:v>
      </x:c>
      <x:c r="W28" s="1" t="n">
        <x:f>IF('Setup'!$B$22&gt;0,"",SUM('Capacity'!W51:W53)*C28)</x:f>
        <x:v>0</x:v>
      </x:c>
    </x:row>
    <x:row r="29" ht="23" customHeight="1">
      <x:c r="A29" s="20" t="n">
        <x:f>IF('Setup'!$B$22&gt;0,"",'Demand'!A29)</x:f>
        <x:v>46323</x:v>
      </x:c>
      <x:c r="B29" s="1" t="n">
        <x:f>IF('Setup'!$B$22&gt;0,"",'Demand'!B29)</x:f>
        <x:v>4</x:v>
      </x:c>
      <x:c r="C29" s="1" t="n">
        <x:f>IF('Setup'!$B$22&gt;0,"",'Demand'!C29)</x:f>
        <x:v>1</x:v>
      </x:c>
      <x:c r="D29" s="24" t="n">
        <x:f>IF('Setup'!$B$22&gt;0,"",ROUND('Demand'!D29*'Setup'!B18,0))</x:f>
        <x:v>10200</x:v>
      </x:c>
      <x:c r="E29" s="24" t="n">
        <x:f>IF('Setup'!$B$22&gt;0,"",L28)</x:f>
        <x:v>40923</x:v>
      </x:c>
      <x:c r="F29" s="24" t="n">
        <x:f>IF('Setup'!$B$22&gt;0,"",D29+E29)</x:f>
        <x:v>51123</x:v>
      </x:c>
      <x:c r="G29" s="24" t="n">
        <x:f>IF('Setup'!$B$22&gt;0,"",'Capacity'!N51*C29)</x:f>
        <x:v>7953</x:v>
      </x:c>
      <x:c r="H29" s="24" t="n">
        <x:f>IF('Setup'!$B$22&gt;0,"",'Capacity'!N52*C29)</x:f>
        <x:v>7391</x:v>
      </x:c>
      <x:c r="I29" s="24" t="n">
        <x:f>IF('Setup'!$B$22&gt;0,"",'Capacity'!N53*C29)</x:f>
        <x:v>7146</x:v>
      </x:c>
      <x:c r="J29" s="24" t="n">
        <x:f>IF('Setup'!$B$22&gt;0,"",MIN(G29:I29))</x:f>
        <x:v>7146</x:v>
      </x:c>
      <x:c r="K29" s="24" t="n">
        <x:f>IF('Setup'!$B$22&gt;0,"",MIN(F29,J29))</x:f>
        <x:v>7146</x:v>
      </x:c>
      <x:c r="L29" s="24" t="n">
        <x:f>IF('Setup'!$B$22&gt;0,"",MAX(0,F29-K29))</x:f>
        <x:v>43977</x:v>
      </x:c>
      <x:c r="M29" s="23" t="n">
        <x:f>IF('Setup'!$B$22&gt;0,"",IF(J29=0,0,K29/J29))</x:f>
        <x:v>1</x:v>
      </x:c>
      <x:c r="N29" s="25" t="n">
        <x:f>IF('Setup'!$B$22&gt;0,"",SUM('Capacity'!Z51:Z53)*C29)</x:f>
        <x:v>11319.68</x:v>
      </x:c>
      <x:c r="O29" s="25" t="n">
        <x:f>IF('Setup'!$B$22&gt;0,"",SUM('Capacity'!Q51:Q53)*C29)</x:f>
        <x:v>1987.1999999999996</x:v>
      </x:c>
      <x:c r="P29" s="1" t="str">
        <x:f>IF('Setup'!$B$22&gt;0,"",IF(C29=0,"Closed",INDEX('Processes'!$A$6:$A$8,MATCH(J29,G29:I29,0))))</x:f>
        <x:v>Ship</x:v>
      </x:c>
      <x:c r="Q29" s="1" t="n">
        <x:f>IF('Setup'!$B$22&gt;0,"",IF(C29=0,0,MAX(0,ROUNDUP(F29/'Capacity'!X51-'Capacity'!Y51,0)-'Capacity'!G51)))</x:f>
        <x:v>145</x:v>
      </x:c>
      <x:c r="R29" s="1" t="n">
        <x:f>IF('Setup'!$B$22&gt;0,"",IF(C29=0,0,MAX(0,ROUNDUP(F29/'Capacity'!X52-'Capacity'!Y52,0)-'Capacity'!G52)))</x:f>
        <x:v>122</x:v>
      </x:c>
      <x:c r="S29" s="1" t="n">
        <x:f>IF('Setup'!$B$22&gt;0,"",IF(C29=0,0,MAX(0,ROUNDUP(F29/'Capacity'!X53-'Capacity'!Y53,0)-'Capacity'!G53)))</x:f>
        <x:v>74</x:v>
      </x:c>
      <x:c r="T29" s="1" t="str">
        <x:f>IF('Setup'!$B$22&gt;0,"",IF(C29=0,IF(L29&gt;'Setup'!$B$7,"Backlog on closed day","Closed"),IF(OR(V29&gt;0,W29&gt;0),"Resolve staffing limits",IF(U29&gt;0,"Resolve physical limit",IF(L29&gt;'Setup'!$B$7,"Close labor capacity gap",IF(L29&gt;0,"Backlog below threshold","Within daily capacity"))))))</x:f>
        <x:v>Resolve physical limit</x:v>
      </x:c>
      <x:c r="U29" s="1" t="n">
        <x:f>IF('Setup'!$B$22&gt;0,"",IF(C29=0,0,MAX(0,F29-INT(MIN('Capacity'!M51:M53)))))</x:f>
        <x:v>43123</x:v>
      </x:c>
      <x:c r="V29" s="1" t="n">
        <x:f>IF('Setup'!$B$22&gt;0,"",SUM('Capacity'!T51:T53)*C29)</x:f>
        <x:v>0</x:v>
      </x:c>
      <x:c r="W29" s="1" t="n">
        <x:f>IF('Setup'!$B$22&gt;0,"",SUM('Capacity'!W51:W53)*C29)</x:f>
        <x:v>0</x:v>
      </x:c>
    </x:row>
    <x:row r="30" ht="23" customHeight="1">
      <x:c r="A30" s="20" t="n">
        <x:f>IF('Setup'!$B$22&gt;0,"",'Demand'!A30)</x:f>
        <x:v>46324</x:v>
      </x:c>
      <x:c r="B30" s="1" t="n">
        <x:f>IF('Setup'!$B$22&gt;0,"",'Demand'!B30)</x:f>
        <x:v>4</x:v>
      </x:c>
      <x:c r="C30" s="1" t="n">
        <x:f>IF('Setup'!$B$22&gt;0,"",'Demand'!C30)</x:f>
        <x:v>1</x:v>
      </x:c>
      <x:c r="D30" s="24" t="n">
        <x:f>IF('Setup'!$B$22&gt;0,"",ROUND('Demand'!D30*'Setup'!B18,0))</x:f>
        <x:v>10200</x:v>
      </x:c>
      <x:c r="E30" s="24" t="n">
        <x:f>IF('Setup'!$B$22&gt;0,"",L29)</x:f>
        <x:v>43977</x:v>
      </x:c>
      <x:c r="F30" s="24" t="n">
        <x:f>IF('Setup'!$B$22&gt;0,"",D30+E30)</x:f>
        <x:v>54177</x:v>
      </x:c>
      <x:c r="G30" s="24" t="n">
        <x:f>IF('Setup'!$B$22&gt;0,"",'Capacity'!N51*C30)</x:f>
        <x:v>7953</x:v>
      </x:c>
      <x:c r="H30" s="24" t="n">
        <x:f>IF('Setup'!$B$22&gt;0,"",'Capacity'!N52*C30)</x:f>
        <x:v>7391</x:v>
      </x:c>
      <x:c r="I30" s="24" t="n">
        <x:f>IF('Setup'!$B$22&gt;0,"",'Capacity'!N53*C30)</x:f>
        <x:v>7146</x:v>
      </x:c>
      <x:c r="J30" s="24" t="n">
        <x:f>IF('Setup'!$B$22&gt;0,"",MIN(G30:I30))</x:f>
        <x:v>7146</x:v>
      </x:c>
      <x:c r="K30" s="24" t="n">
        <x:f>IF('Setup'!$B$22&gt;0,"",MIN(F30,J30))</x:f>
        <x:v>7146</x:v>
      </x:c>
      <x:c r="L30" s="24" t="n">
        <x:f>IF('Setup'!$B$22&gt;0,"",MAX(0,F30-K30))</x:f>
        <x:v>47031</x:v>
      </x:c>
      <x:c r="M30" s="23" t="n">
        <x:f>IF('Setup'!$B$22&gt;0,"",IF(J30=0,0,K30/J30))</x:f>
        <x:v>1</x:v>
      </x:c>
      <x:c r="N30" s="25" t="n">
        <x:f>IF('Setup'!$B$22&gt;0,"",SUM('Capacity'!Z51:Z53)*C30)</x:f>
        <x:v>11319.68</x:v>
      </x:c>
      <x:c r="O30" s="25" t="n">
        <x:f>IF('Setup'!$B$22&gt;0,"",SUM('Capacity'!Q51:Q53)*C30)</x:f>
        <x:v>1987.1999999999996</x:v>
      </x:c>
      <x:c r="P30" s="1" t="str">
        <x:f>IF('Setup'!$B$22&gt;0,"",IF(C30=0,"Closed",INDEX('Processes'!$A$6:$A$8,MATCH(J30,G30:I30,0))))</x:f>
        <x:v>Ship</x:v>
      </x:c>
      <x:c r="Q30" s="1" t="n">
        <x:f>IF('Setup'!$B$22&gt;0,"",IF(C30=0,0,MAX(0,ROUNDUP(F30/'Capacity'!X51-'Capacity'!Y51,0)-'Capacity'!G51)))</x:f>
        <x:v>155</x:v>
      </x:c>
      <x:c r="R30" s="1" t="n">
        <x:f>IF('Setup'!$B$22&gt;0,"",IF(C30=0,0,MAX(0,ROUNDUP(F30/'Capacity'!X52-'Capacity'!Y52,0)-'Capacity'!G52)))</x:f>
        <x:v>131</x:v>
      </x:c>
      <x:c r="S30" s="1" t="n">
        <x:f>IF('Setup'!$B$22&gt;0,"",IF(C30=0,0,MAX(0,ROUNDUP(F30/'Capacity'!X53-'Capacity'!Y53,0)-'Capacity'!G53)))</x:f>
        <x:v>79</x:v>
      </x:c>
      <x:c r="T30" s="1" t="str">
        <x:f>IF('Setup'!$B$22&gt;0,"",IF(C30=0,IF(L30&gt;'Setup'!$B$7,"Backlog on closed day","Closed"),IF(OR(V30&gt;0,W30&gt;0),"Resolve staffing limits",IF(U30&gt;0,"Resolve physical limit",IF(L30&gt;'Setup'!$B$7,"Close labor capacity gap",IF(L30&gt;0,"Backlog below threshold","Within daily capacity"))))))</x:f>
        <x:v>Resolve physical limit</x:v>
      </x:c>
      <x:c r="U30" s="1" t="n">
        <x:f>IF('Setup'!$B$22&gt;0,"",IF(C30=0,0,MAX(0,F30-INT(MIN('Capacity'!M51:M53)))))</x:f>
        <x:v>46177</x:v>
      </x:c>
      <x:c r="V30" s="1" t="n">
        <x:f>IF('Setup'!$B$22&gt;0,"",SUM('Capacity'!T51:T53)*C30)</x:f>
        <x:v>0</x:v>
      </x:c>
      <x:c r="W30" s="1" t="n">
        <x:f>IF('Setup'!$B$22&gt;0,"",SUM('Capacity'!W51:W53)*C30)</x:f>
        <x:v>0</x:v>
      </x:c>
    </x:row>
    <x:row r="31" ht="23" customHeight="1">
      <x:c r="A31" s="20" t="n">
        <x:f>IF('Setup'!$B$22&gt;0,"",'Demand'!A31)</x:f>
        <x:v>46325</x:v>
      </x:c>
      <x:c r="B31" s="1" t="n">
        <x:f>IF('Setup'!$B$22&gt;0,"",'Demand'!B31)</x:f>
        <x:v>4</x:v>
      </x:c>
      <x:c r="C31" s="1" t="n">
        <x:f>IF('Setup'!$B$22&gt;0,"",'Demand'!C31)</x:f>
        <x:v>1</x:v>
      </x:c>
      <x:c r="D31" s="24" t="n">
        <x:f>IF('Setup'!$B$22&gt;0,"",ROUND('Demand'!D31*'Setup'!B18,0))</x:f>
        <x:v>10200</x:v>
      </x:c>
      <x:c r="E31" s="24" t="n">
        <x:f>IF('Setup'!$B$22&gt;0,"",L30)</x:f>
        <x:v>47031</x:v>
      </x:c>
      <x:c r="F31" s="24" t="n">
        <x:f>IF('Setup'!$B$22&gt;0,"",D31+E31)</x:f>
        <x:v>57231</x:v>
      </x:c>
      <x:c r="G31" s="24" t="n">
        <x:f>IF('Setup'!$B$22&gt;0,"",'Capacity'!N51*C31)</x:f>
        <x:v>7953</x:v>
      </x:c>
      <x:c r="H31" s="24" t="n">
        <x:f>IF('Setup'!$B$22&gt;0,"",'Capacity'!N52*C31)</x:f>
        <x:v>7391</x:v>
      </x:c>
      <x:c r="I31" s="24" t="n">
        <x:f>IF('Setup'!$B$22&gt;0,"",'Capacity'!N53*C31)</x:f>
        <x:v>7146</x:v>
      </x:c>
      <x:c r="J31" s="24" t="n">
        <x:f>IF('Setup'!$B$22&gt;0,"",MIN(G31:I31))</x:f>
        <x:v>7146</x:v>
      </x:c>
      <x:c r="K31" s="24" t="n">
        <x:f>IF('Setup'!$B$22&gt;0,"",MIN(F31,J31))</x:f>
        <x:v>7146</x:v>
      </x:c>
      <x:c r="L31" s="24" t="n">
        <x:f>IF('Setup'!$B$22&gt;0,"",MAX(0,F31-K31))</x:f>
        <x:v>50085</x:v>
      </x:c>
      <x:c r="M31" s="23" t="n">
        <x:f>IF('Setup'!$B$22&gt;0,"",IF(J31=0,0,K31/J31))</x:f>
        <x:v>1</x:v>
      </x:c>
      <x:c r="N31" s="25" t="n">
        <x:f>IF('Setup'!$B$22&gt;0,"",SUM('Capacity'!Z51:Z53)*C31)</x:f>
        <x:v>11319.68</x:v>
      </x:c>
      <x:c r="O31" s="25" t="n">
        <x:f>IF('Setup'!$B$22&gt;0,"",SUM('Capacity'!Q51:Q53)*C31)</x:f>
        <x:v>1987.1999999999996</x:v>
      </x:c>
      <x:c r="P31" s="1" t="str">
        <x:f>IF('Setup'!$B$22&gt;0,"",IF(C31=0,"Closed",INDEX('Processes'!$A$6:$A$8,MATCH(J31,G31:I31,0))))</x:f>
        <x:v>Ship</x:v>
      </x:c>
      <x:c r="Q31" s="1" t="n">
        <x:f>IF('Setup'!$B$22&gt;0,"",IF(C31=0,0,MAX(0,ROUNDUP(F31/'Capacity'!X51-'Capacity'!Y51,0)-'Capacity'!G51)))</x:f>
        <x:v>165</x:v>
      </x:c>
      <x:c r="R31" s="1" t="n">
        <x:f>IF('Setup'!$B$22&gt;0,"",IF(C31=0,0,MAX(0,ROUNDUP(F31/'Capacity'!X52-'Capacity'!Y52,0)-'Capacity'!G52)))</x:f>
        <x:v>139</x:v>
      </x:c>
      <x:c r="S31" s="1" t="n">
        <x:f>IF('Setup'!$B$22&gt;0,"",IF(C31=0,0,MAX(0,ROUNDUP(F31/'Capacity'!X53-'Capacity'!Y53,0)-'Capacity'!G53)))</x:f>
        <x:v>84</x:v>
      </x:c>
      <x:c r="T31" s="1" t="str">
        <x:f>IF('Setup'!$B$22&gt;0,"",IF(C31=0,IF(L31&gt;'Setup'!$B$7,"Backlog on closed day","Closed"),IF(OR(V31&gt;0,W31&gt;0),"Resolve staffing limits",IF(U31&gt;0,"Resolve physical limit",IF(L31&gt;'Setup'!$B$7,"Close labor capacity gap",IF(L31&gt;0,"Backlog below threshold","Within daily capacity"))))))</x:f>
        <x:v>Resolve physical limit</x:v>
      </x:c>
      <x:c r="U31" s="1" t="n">
        <x:f>IF('Setup'!$B$22&gt;0,"",IF(C31=0,0,MAX(0,F31-INT(MIN('Capacity'!M51:M53)))))</x:f>
        <x:v>49231</x:v>
      </x:c>
      <x:c r="V31" s="1" t="n">
        <x:f>IF('Setup'!$B$22&gt;0,"",SUM('Capacity'!T51:T53)*C31)</x:f>
        <x:v>0</x:v>
      </x:c>
      <x:c r="W31" s="1" t="n">
        <x:f>IF('Setup'!$B$22&gt;0,"",SUM('Capacity'!W51:W53)*C31)</x:f>
        <x:v>0</x:v>
      </x:c>
    </x:row>
    <x:row r="32" ht="23" customHeight="1">
      <x:c r="A32" s="20" t="n">
        <x:f>IF('Setup'!$B$22&gt;0,"",'Demand'!A32)</x:f>
        <x:v>46326</x:v>
      </x:c>
      <x:c r="B32" s="1" t="n">
        <x:f>IF('Setup'!$B$22&gt;0,"",'Demand'!B32)</x:f>
        <x:v>4</x:v>
      </x:c>
      <x:c r="C32" s="1" t="n">
        <x:f>IF('Setup'!$B$22&gt;0,"",'Demand'!C32)</x:f>
        <x:v>0</x:v>
      </x:c>
      <x:c r="D32" s="24" t="n">
        <x:f>IF('Setup'!$B$22&gt;0,"",ROUND('Demand'!D32*'Setup'!B18,0))</x:f>
        <x:v>0</x:v>
      </x:c>
      <x:c r="E32" s="24" t="n">
        <x:f>IF('Setup'!$B$22&gt;0,"",L31)</x:f>
        <x:v>50085</x:v>
      </x:c>
      <x:c r="F32" s="24" t="n">
        <x:f>IF('Setup'!$B$22&gt;0,"",D32+E32)</x:f>
        <x:v>50085</x:v>
      </x:c>
      <x:c r="G32" s="24" t="n">
        <x:f>IF('Setup'!$B$22&gt;0,"",'Capacity'!N51*C32)</x:f>
        <x:v>0</x:v>
      </x:c>
      <x:c r="H32" s="24" t="n">
        <x:f>IF('Setup'!$B$22&gt;0,"",'Capacity'!N52*C32)</x:f>
        <x:v>0</x:v>
      </x:c>
      <x:c r="I32" s="24" t="n">
        <x:f>IF('Setup'!$B$22&gt;0,"",'Capacity'!N53*C32)</x:f>
        <x:v>0</x:v>
      </x:c>
      <x:c r="J32" s="24" t="n">
        <x:f>IF('Setup'!$B$22&gt;0,"",MIN(G32:I32))</x:f>
        <x:v>0</x:v>
      </x:c>
      <x:c r="K32" s="24" t="n">
        <x:f>IF('Setup'!$B$22&gt;0,"",MIN(F32,J32))</x:f>
        <x:v>0</x:v>
      </x:c>
      <x:c r="L32" s="24" t="n">
        <x:f>IF('Setup'!$B$22&gt;0,"",MAX(0,F32-K32))</x:f>
        <x:v>50085</x:v>
      </x:c>
      <x:c r="M32" s="23" t="n">
        <x:f>IF('Setup'!$B$22&gt;0,"",IF(J32=0,0,K32/J32))</x:f>
        <x:v>0</x:v>
      </x:c>
      <x:c r="N32" s="25" t="n">
        <x:f>IF('Setup'!$B$22&gt;0,"",SUM('Capacity'!Z51:Z53)*C32)</x:f>
        <x:v>0</x:v>
      </x:c>
      <x:c r="O32" s="25" t="n">
        <x:f>IF('Setup'!$B$22&gt;0,"",SUM('Capacity'!Q51:Q53)*C32)</x:f>
        <x:v>0</x:v>
      </x:c>
      <x:c r="P32" s="1" t="str">
        <x:f>IF('Setup'!$B$22&gt;0,"",IF(C32=0,"Closed",INDEX('Processes'!$A$6:$A$8,MATCH(J32,G32:I32,0))))</x:f>
        <x:v>Closed</x:v>
      </x:c>
      <x:c r="Q32" s="1" t="n">
        <x:f>IF('Setup'!$B$22&gt;0,"",IF(C32=0,0,MAX(0,ROUNDUP(F32/'Capacity'!X51-'Capacity'!Y51,0)-'Capacity'!G51)))</x:f>
        <x:v>0</x:v>
      </x:c>
      <x:c r="R32" s="1" t="n">
        <x:f>IF('Setup'!$B$22&gt;0,"",IF(C32=0,0,MAX(0,ROUNDUP(F32/'Capacity'!X52-'Capacity'!Y52,0)-'Capacity'!G52)))</x:f>
        <x:v>0</x:v>
      </x:c>
      <x:c r="S32" s="1" t="n">
        <x:f>IF('Setup'!$B$22&gt;0,"",IF(C32=0,0,MAX(0,ROUNDUP(F32/'Capacity'!X53-'Capacity'!Y53,0)-'Capacity'!G53)))</x:f>
        <x:v>0</x:v>
      </x:c>
      <x:c r="T32" s="1" t="str">
        <x:f>IF('Setup'!$B$22&gt;0,"",IF(C32=0,IF(L32&gt;'Setup'!$B$7,"Backlog on closed day","Closed"),IF(OR(V32&gt;0,W32&gt;0),"Resolve staffing limits",IF(U32&gt;0,"Resolve physical limit",IF(L32&gt;'Setup'!$B$7,"Close labor capacity gap",IF(L32&gt;0,"Backlog below threshold","Within daily capacity"))))))</x:f>
        <x:v>Backlog on closed day</x:v>
      </x:c>
      <x:c r="U32" s="1" t="n">
        <x:f>IF('Setup'!$B$22&gt;0,"",IF(C32=0,0,MAX(0,F32-INT(MIN('Capacity'!M51:M53)))))</x:f>
        <x:v>0</x:v>
      </x:c>
      <x:c r="V32" s="1" t="n">
        <x:f>IF('Setup'!$B$22&gt;0,"",SUM('Capacity'!T51:T53)*C32)</x:f>
        <x:v>0</x:v>
      </x:c>
      <x:c r="W32" s="1" t="n">
        <x:f>IF('Setup'!$B$22&gt;0,"",SUM('Capacity'!W51:W53)*C32)</x:f>
        <x:v>0</x:v>
      </x:c>
    </x:row>
    <x:row r="33" ht="23" customHeight="1">
      <x:c r="A33" s="20" t="n">
        <x:f>IF('Setup'!$B$22&gt;0,"",'Demand'!A33)</x:f>
        <x:v>46327</x:v>
      </x:c>
      <x:c r="B33" s="1" t="n">
        <x:f>IF('Setup'!$B$22&gt;0,"",'Demand'!B33)</x:f>
        <x:v>4</x:v>
      </x:c>
      <x:c r="C33" s="1" t="n">
        <x:f>IF('Setup'!$B$22&gt;0,"",'Demand'!C33)</x:f>
        <x:v>0</x:v>
      </x:c>
      <x:c r="D33" s="24" t="n">
        <x:f>IF('Setup'!$B$22&gt;0,"",ROUND('Demand'!D33*'Setup'!B18,0))</x:f>
        <x:v>0</x:v>
      </x:c>
      <x:c r="E33" s="24" t="n">
        <x:f>IF('Setup'!$B$22&gt;0,"",L32)</x:f>
        <x:v>50085</x:v>
      </x:c>
      <x:c r="F33" s="24" t="n">
        <x:f>IF('Setup'!$B$22&gt;0,"",D33+E33)</x:f>
        <x:v>50085</x:v>
      </x:c>
      <x:c r="G33" s="24" t="n">
        <x:f>IF('Setup'!$B$22&gt;0,"",'Capacity'!N51*C33)</x:f>
        <x:v>0</x:v>
      </x:c>
      <x:c r="H33" s="24" t="n">
        <x:f>IF('Setup'!$B$22&gt;0,"",'Capacity'!N52*C33)</x:f>
        <x:v>0</x:v>
      </x:c>
      <x:c r="I33" s="24" t="n">
        <x:f>IF('Setup'!$B$22&gt;0,"",'Capacity'!N53*C33)</x:f>
        <x:v>0</x:v>
      </x:c>
      <x:c r="J33" s="24" t="n">
        <x:f>IF('Setup'!$B$22&gt;0,"",MIN(G33:I33))</x:f>
        <x:v>0</x:v>
      </x:c>
      <x:c r="K33" s="24" t="n">
        <x:f>IF('Setup'!$B$22&gt;0,"",MIN(F33,J33))</x:f>
        <x:v>0</x:v>
      </x:c>
      <x:c r="L33" s="24" t="n">
        <x:f>IF('Setup'!$B$22&gt;0,"",MAX(0,F33-K33))</x:f>
        <x:v>50085</x:v>
      </x:c>
      <x:c r="M33" s="23" t="n">
        <x:f>IF('Setup'!$B$22&gt;0,"",IF(J33=0,0,K33/J33))</x:f>
        <x:v>0</x:v>
      </x:c>
      <x:c r="N33" s="25" t="n">
        <x:f>IF('Setup'!$B$22&gt;0,"",SUM('Capacity'!Z51:Z53)*C33)</x:f>
        <x:v>0</x:v>
      </x:c>
      <x:c r="O33" s="25" t="n">
        <x:f>IF('Setup'!$B$22&gt;0,"",SUM('Capacity'!Q51:Q53)*C33)</x:f>
        <x:v>0</x:v>
      </x:c>
      <x:c r="P33" s="1" t="str">
        <x:f>IF('Setup'!$B$22&gt;0,"",IF(C33=0,"Closed",INDEX('Processes'!$A$6:$A$8,MATCH(J33,G33:I33,0))))</x:f>
        <x:v>Closed</x:v>
      </x:c>
      <x:c r="Q33" s="1" t="n">
        <x:f>IF('Setup'!$B$22&gt;0,"",IF(C33=0,0,MAX(0,ROUNDUP(F33/'Capacity'!X51-'Capacity'!Y51,0)-'Capacity'!G51)))</x:f>
        <x:v>0</x:v>
      </x:c>
      <x:c r="R33" s="1" t="n">
        <x:f>IF('Setup'!$B$22&gt;0,"",IF(C33=0,0,MAX(0,ROUNDUP(F33/'Capacity'!X52-'Capacity'!Y52,0)-'Capacity'!G52)))</x:f>
        <x:v>0</x:v>
      </x:c>
      <x:c r="S33" s="1" t="n">
        <x:f>IF('Setup'!$B$22&gt;0,"",IF(C33=0,0,MAX(0,ROUNDUP(F33/'Capacity'!X53-'Capacity'!Y53,0)-'Capacity'!G53)))</x:f>
        <x:v>0</x:v>
      </x:c>
      <x:c r="T33" s="1" t="str">
        <x:f>IF('Setup'!$B$22&gt;0,"",IF(C33=0,IF(L33&gt;'Setup'!$B$7,"Backlog on closed day","Closed"),IF(OR(V33&gt;0,W33&gt;0),"Resolve staffing limits",IF(U33&gt;0,"Resolve physical limit",IF(L33&gt;'Setup'!$B$7,"Close labor capacity gap",IF(L33&gt;0,"Backlog below threshold","Within daily capacity"))))))</x:f>
        <x:v>Backlog on closed day</x:v>
      </x:c>
      <x:c r="U33" s="1" t="n">
        <x:f>IF('Setup'!$B$22&gt;0,"",IF(C33=0,0,MAX(0,F33-INT(MIN('Capacity'!M51:M53)))))</x:f>
        <x:v>0</x:v>
      </x:c>
      <x:c r="V33" s="1" t="n">
        <x:f>IF('Setup'!$B$22&gt;0,"",SUM('Capacity'!T51:T53)*C33)</x:f>
        <x:v>0</x:v>
      </x:c>
      <x:c r="W33" s="1" t="n">
        <x:f>IF('Setup'!$B$22&gt;0,"",SUM('Capacity'!W51:W53)*C33)</x:f>
        <x:v>0</x:v>
      </x:c>
    </x:row>
    <x:row r="34" ht="23" customHeight="1">
      <x:c r="A34" s="20" t="n">
        <x:f>IF('Setup'!$B$22&gt;0,"",'Demand'!A34)</x:f>
        <x:v>46328</x:v>
      </x:c>
      <x:c r="B34" s="1" t="n">
        <x:f>IF('Setup'!$B$22&gt;0,"",'Demand'!B34)</x:f>
        <x:v>5</x:v>
      </x:c>
      <x:c r="C34" s="1" t="n">
        <x:f>IF('Setup'!$B$22&gt;0,"",'Demand'!C34)</x:f>
        <x:v>1</x:v>
      </x:c>
      <x:c r="D34" s="24" t="n">
        <x:f>IF('Setup'!$B$22&gt;0,"",ROUND('Demand'!D34*'Setup'!B18,0))</x:f>
        <x:v>10800</x:v>
      </x:c>
      <x:c r="E34" s="24" t="n">
        <x:f>IF('Setup'!$B$22&gt;0,"",L33)</x:f>
        <x:v>50085</x:v>
      </x:c>
      <x:c r="F34" s="24" t="n">
        <x:f>IF('Setup'!$B$22&gt;0,"",D34+E34)</x:f>
        <x:v>60885</x:v>
      </x:c>
      <x:c r="G34" s="24" t="n">
        <x:f>IF('Setup'!$B$22&gt;0,"",'Capacity'!N54*C34)</x:f>
        <x:v>9258</x:v>
      </x:c>
      <x:c r="H34" s="24" t="n">
        <x:f>IF('Setup'!$B$22&gt;0,"",'Capacity'!N55*C34)</x:f>
        <x:v>8659</x:v>
      </x:c>
      <x:c r="I34" s="24" t="n">
        <x:f>IF('Setup'!$B$22&gt;0,"",'Capacity'!N56*C34)</x:f>
        <x:v>8000</x:v>
      </x:c>
      <x:c r="J34" s="24" t="n">
        <x:f>IF('Setup'!$B$22&gt;0,"",MIN(G34:I34))</x:f>
        <x:v>8000</x:v>
      </x:c>
      <x:c r="K34" s="24" t="n">
        <x:f>IF('Setup'!$B$22&gt;0,"",MIN(F34,J34))</x:f>
        <x:v>8000</x:v>
      </x:c>
      <x:c r="L34" s="24" t="n">
        <x:f>IF('Setup'!$B$22&gt;0,"",MAX(0,F34-K34))</x:f>
        <x:v>52885</x:v>
      </x:c>
      <x:c r="M34" s="23" t="n">
        <x:f>IF('Setup'!$B$22&gt;0,"",IF(J34=0,0,K34/J34))</x:f>
        <x:v>1</x:v>
      </x:c>
      <x:c r="N34" s="25" t="n">
        <x:f>IF('Setup'!$B$22&gt;0,"",SUM('Capacity'!Z54:Z56)*C34)</x:f>
        <x:v>13442.12</x:v>
      </x:c>
      <x:c r="O34" s="25" t="n">
        <x:f>IF('Setup'!$B$22&gt;0,"",SUM('Capacity'!Q54:Q56)*C34)</x:f>
        <x:v>4109.639999999999</x:v>
      </x:c>
      <x:c r="P34" s="1" t="str">
        <x:f>IF('Setup'!$B$22&gt;0,"",IF(C34=0,"Closed",INDEX('Processes'!$A$6:$A$8,MATCH(J34,G34:I34,0))))</x:f>
        <x:v>Ship</x:v>
      </x:c>
      <x:c r="Q34" s="1" t="n">
        <x:f>IF('Setup'!$B$22&gt;0,"",IF(C34=0,0,MAX(0,ROUNDUP(F34/'Capacity'!X54-'Capacity'!Y54,0)-'Capacity'!G54)))</x:f>
        <x:v>152</x:v>
      </x:c>
      <x:c r="R34" s="1" t="n">
        <x:f>IF('Setup'!$B$22&gt;0,"",IF(C34=0,0,MAX(0,ROUNDUP(F34/'Capacity'!X55-'Capacity'!Y55,0)-'Capacity'!G55)))</x:f>
        <x:v>128</x:v>
      </x:c>
      <x:c r="S34" s="1" t="n">
        <x:f>IF('Setup'!$B$22&gt;0,"",IF(C34=0,0,MAX(0,ROUNDUP(F34/'Capacity'!X56-'Capacity'!Y56,0)-'Capacity'!G56)))</x:f>
        <x:v>78</x:v>
      </x:c>
      <x:c r="T34" s="1" t="str">
        <x:f>IF('Setup'!$B$22&gt;0,"",IF(C34=0,IF(L34&gt;'Setup'!$B$7,"Backlog on closed day","Closed"),IF(OR(V34&gt;0,W34&gt;0),"Resolve staffing limits",IF(U34&gt;0,"Resolve physical limit",IF(L34&gt;'Setup'!$B$7,"Close labor capacity gap",IF(L34&gt;0,"Backlog below threshold","Within daily capacity"))))))</x:f>
        <x:v>Resolve physical limit</x:v>
      </x:c>
      <x:c r="U34" s="1" t="n">
        <x:f>IF('Setup'!$B$22&gt;0,"",IF(C34=0,0,MAX(0,F34-INT(MIN('Capacity'!M54:M56)))))</x:f>
        <x:v>52885</x:v>
      </x:c>
      <x:c r="V34" s="1" t="n">
        <x:f>IF('Setup'!$B$22&gt;0,"",SUM('Capacity'!T54:T56)*C34)</x:f>
        <x:v>0</x:v>
      </x:c>
      <x:c r="W34" s="1" t="n">
        <x:f>IF('Setup'!$B$22&gt;0,"",SUM('Capacity'!W54:W56)*C34)</x:f>
        <x:v>0</x:v>
      </x:c>
    </x:row>
    <x:row r="35" ht="23" customHeight="1">
      <x:c r="A35" s="20" t="n">
        <x:f>IF('Setup'!$B$22&gt;0,"",'Demand'!A35)</x:f>
        <x:v>46329</x:v>
      </x:c>
      <x:c r="B35" s="1" t="n">
        <x:f>IF('Setup'!$B$22&gt;0,"",'Demand'!B35)</x:f>
        <x:v>5</x:v>
      </x:c>
      <x:c r="C35" s="1" t="n">
        <x:f>IF('Setup'!$B$22&gt;0,"",'Demand'!C35)</x:f>
        <x:v>1</x:v>
      </x:c>
      <x:c r="D35" s="24" t="n">
        <x:f>IF('Setup'!$B$22&gt;0,"",ROUND('Demand'!D35*'Setup'!B18,0))</x:f>
        <x:v>10800</x:v>
      </x:c>
      <x:c r="E35" s="24" t="n">
        <x:f>IF('Setup'!$B$22&gt;0,"",L34)</x:f>
        <x:v>52885</x:v>
      </x:c>
      <x:c r="F35" s="24" t="n">
        <x:f>IF('Setup'!$B$22&gt;0,"",D35+E35)</x:f>
        <x:v>63685</x:v>
      </x:c>
      <x:c r="G35" s="24" t="n">
        <x:f>IF('Setup'!$B$22&gt;0,"",'Capacity'!N54*C35)</x:f>
        <x:v>9258</x:v>
      </x:c>
      <x:c r="H35" s="24" t="n">
        <x:f>IF('Setup'!$B$22&gt;0,"",'Capacity'!N55*C35)</x:f>
        <x:v>8659</x:v>
      </x:c>
      <x:c r="I35" s="24" t="n">
        <x:f>IF('Setup'!$B$22&gt;0,"",'Capacity'!N56*C35)</x:f>
        <x:v>8000</x:v>
      </x:c>
      <x:c r="J35" s="24" t="n">
        <x:f>IF('Setup'!$B$22&gt;0,"",MIN(G35:I35))</x:f>
        <x:v>8000</x:v>
      </x:c>
      <x:c r="K35" s="24" t="n">
        <x:f>IF('Setup'!$B$22&gt;0,"",MIN(F35,J35))</x:f>
        <x:v>8000</x:v>
      </x:c>
      <x:c r="L35" s="24" t="n">
        <x:f>IF('Setup'!$B$22&gt;0,"",MAX(0,F35-K35))</x:f>
        <x:v>55685</x:v>
      </x:c>
      <x:c r="M35" s="23" t="n">
        <x:f>IF('Setup'!$B$22&gt;0,"",IF(J35=0,0,K35/J35))</x:f>
        <x:v>1</x:v>
      </x:c>
      <x:c r="N35" s="25" t="n">
        <x:f>IF('Setup'!$B$22&gt;0,"",SUM('Capacity'!Z54:Z56)*C35)</x:f>
        <x:v>13442.12</x:v>
      </x:c>
      <x:c r="O35" s="25" t="n">
        <x:f>IF('Setup'!$B$22&gt;0,"",SUM('Capacity'!Q54:Q56)*C35)</x:f>
        <x:v>4109.639999999999</x:v>
      </x:c>
      <x:c r="P35" s="1" t="str">
        <x:f>IF('Setup'!$B$22&gt;0,"",IF(C35=0,"Closed",INDEX('Processes'!$A$6:$A$8,MATCH(J35,G35:I35,0))))</x:f>
        <x:v>Ship</x:v>
      </x:c>
      <x:c r="Q35" s="1" t="n">
        <x:f>IF('Setup'!$B$22&gt;0,"",IF(C35=0,0,MAX(0,ROUNDUP(F35/'Capacity'!X54-'Capacity'!Y54,0)-'Capacity'!G54)))</x:f>
        <x:v>160</x:v>
      </x:c>
      <x:c r="R35" s="1" t="n">
        <x:f>IF('Setup'!$B$22&gt;0,"",IF(C35=0,0,MAX(0,ROUNDUP(F35/'Capacity'!X55-'Capacity'!Y55,0)-'Capacity'!G55)))</x:f>
        <x:v>135</x:v>
      </x:c>
      <x:c r="S35" s="1" t="n">
        <x:f>IF('Setup'!$B$22&gt;0,"",IF(C35=0,0,MAX(0,ROUNDUP(F35/'Capacity'!X56-'Capacity'!Y56,0)-'Capacity'!G56)))</x:f>
        <x:v>82</x:v>
      </x:c>
      <x:c r="T35" s="1" t="str">
        <x:f>IF('Setup'!$B$22&gt;0,"",IF(C35=0,IF(L35&gt;'Setup'!$B$7,"Backlog on closed day","Closed"),IF(OR(V35&gt;0,W35&gt;0),"Resolve staffing limits",IF(U35&gt;0,"Resolve physical limit",IF(L35&gt;'Setup'!$B$7,"Close labor capacity gap",IF(L35&gt;0,"Backlog below threshold","Within daily capacity"))))))</x:f>
        <x:v>Resolve physical limit</x:v>
      </x:c>
      <x:c r="U35" s="1" t="n">
        <x:f>IF('Setup'!$B$22&gt;0,"",IF(C35=0,0,MAX(0,F35-INT(MIN('Capacity'!M54:M56)))))</x:f>
        <x:v>55685</x:v>
      </x:c>
      <x:c r="V35" s="1" t="n">
        <x:f>IF('Setup'!$B$22&gt;0,"",SUM('Capacity'!T54:T56)*C35)</x:f>
        <x:v>0</x:v>
      </x:c>
      <x:c r="W35" s="1" t="n">
        <x:f>IF('Setup'!$B$22&gt;0,"",SUM('Capacity'!W54:W56)*C35)</x:f>
        <x:v>0</x:v>
      </x:c>
    </x:row>
    <x:row r="36" ht="23" customHeight="1">
      <x:c r="A36" s="20" t="n">
        <x:f>IF('Setup'!$B$22&gt;0,"",'Demand'!A36)</x:f>
        <x:v>46330</x:v>
      </x:c>
      <x:c r="B36" s="1" t="n">
        <x:f>IF('Setup'!$B$22&gt;0,"",'Demand'!B36)</x:f>
        <x:v>5</x:v>
      </x:c>
      <x:c r="C36" s="1" t="n">
        <x:f>IF('Setup'!$B$22&gt;0,"",'Demand'!C36)</x:f>
        <x:v>1</x:v>
      </x:c>
      <x:c r="D36" s="24" t="n">
        <x:f>IF('Setup'!$B$22&gt;0,"",ROUND('Demand'!D36*'Setup'!B18,0))</x:f>
        <x:v>10800</x:v>
      </x:c>
      <x:c r="E36" s="24" t="n">
        <x:f>IF('Setup'!$B$22&gt;0,"",L35)</x:f>
        <x:v>55685</x:v>
      </x:c>
      <x:c r="F36" s="24" t="n">
        <x:f>IF('Setup'!$B$22&gt;0,"",D36+E36)</x:f>
        <x:v>66485</x:v>
      </x:c>
      <x:c r="G36" s="24" t="n">
        <x:f>IF('Setup'!$B$22&gt;0,"",'Capacity'!N54*C36)</x:f>
        <x:v>9258</x:v>
      </x:c>
      <x:c r="H36" s="24" t="n">
        <x:f>IF('Setup'!$B$22&gt;0,"",'Capacity'!N55*C36)</x:f>
        <x:v>8659</x:v>
      </x:c>
      <x:c r="I36" s="24" t="n">
        <x:f>IF('Setup'!$B$22&gt;0,"",'Capacity'!N56*C36)</x:f>
        <x:v>8000</x:v>
      </x:c>
      <x:c r="J36" s="24" t="n">
        <x:f>IF('Setup'!$B$22&gt;0,"",MIN(G36:I36))</x:f>
        <x:v>8000</x:v>
      </x:c>
      <x:c r="K36" s="24" t="n">
        <x:f>IF('Setup'!$B$22&gt;0,"",MIN(F36,J36))</x:f>
        <x:v>8000</x:v>
      </x:c>
      <x:c r="L36" s="24" t="n">
        <x:f>IF('Setup'!$B$22&gt;0,"",MAX(0,F36-K36))</x:f>
        <x:v>58485</x:v>
      </x:c>
      <x:c r="M36" s="23" t="n">
        <x:f>IF('Setup'!$B$22&gt;0,"",IF(J36=0,0,K36/J36))</x:f>
        <x:v>1</x:v>
      </x:c>
      <x:c r="N36" s="25" t="n">
        <x:f>IF('Setup'!$B$22&gt;0,"",SUM('Capacity'!Z54:Z56)*C36)</x:f>
        <x:v>13442.12</x:v>
      </x:c>
      <x:c r="O36" s="25" t="n">
        <x:f>IF('Setup'!$B$22&gt;0,"",SUM('Capacity'!Q54:Q56)*C36)</x:f>
        <x:v>4109.639999999999</x:v>
      </x:c>
      <x:c r="P36" s="1" t="str">
        <x:f>IF('Setup'!$B$22&gt;0,"",IF(C36=0,"Closed",INDEX('Processes'!$A$6:$A$8,MATCH(J36,G36:I36,0))))</x:f>
        <x:v>Ship</x:v>
      </x:c>
      <x:c r="Q36" s="1" t="n">
        <x:f>IF('Setup'!$B$22&gt;0,"",IF(C36=0,0,MAX(0,ROUNDUP(F36/'Capacity'!X54-'Capacity'!Y54,0)-'Capacity'!G54)))</x:f>
        <x:v>169</x:v>
      </x:c>
      <x:c r="R36" s="1" t="n">
        <x:f>IF('Setup'!$B$22&gt;0,"",IF(C36=0,0,MAX(0,ROUNDUP(F36/'Capacity'!X55-'Capacity'!Y55,0)-'Capacity'!G55)))</x:f>
        <x:v>142</x:v>
      </x:c>
      <x:c r="S36" s="1" t="n">
        <x:f>IF('Setup'!$B$22&gt;0,"",IF(C36=0,0,MAX(0,ROUNDUP(F36/'Capacity'!X56-'Capacity'!Y56,0)-'Capacity'!G56)))</x:f>
        <x:v>86</x:v>
      </x:c>
      <x:c r="T36" s="1" t="str">
        <x:f>IF('Setup'!$B$22&gt;0,"",IF(C36=0,IF(L36&gt;'Setup'!$B$7,"Backlog on closed day","Closed"),IF(OR(V36&gt;0,W36&gt;0),"Resolve staffing limits",IF(U36&gt;0,"Resolve physical limit",IF(L36&gt;'Setup'!$B$7,"Close labor capacity gap",IF(L36&gt;0,"Backlog below threshold","Within daily capacity"))))))</x:f>
        <x:v>Resolve physical limit</x:v>
      </x:c>
      <x:c r="U36" s="1" t="n">
        <x:f>IF('Setup'!$B$22&gt;0,"",IF(C36=0,0,MAX(0,F36-INT(MIN('Capacity'!M54:M56)))))</x:f>
        <x:v>58485</x:v>
      </x:c>
      <x:c r="V36" s="1" t="n">
        <x:f>IF('Setup'!$B$22&gt;0,"",SUM('Capacity'!T54:T56)*C36)</x:f>
        <x:v>0</x:v>
      </x:c>
      <x:c r="W36" s="1" t="n">
        <x:f>IF('Setup'!$B$22&gt;0,"",SUM('Capacity'!W54:W56)*C36)</x:f>
        <x:v>0</x:v>
      </x:c>
    </x:row>
    <x:row r="37" ht="23" customHeight="1">
      <x:c r="A37" s="20" t="n">
        <x:f>IF('Setup'!$B$22&gt;0,"",'Demand'!A37)</x:f>
        <x:v>46331</x:v>
      </x:c>
      <x:c r="B37" s="1" t="n">
        <x:f>IF('Setup'!$B$22&gt;0,"",'Demand'!B37)</x:f>
        <x:v>5</x:v>
      </x:c>
      <x:c r="C37" s="1" t="n">
        <x:f>IF('Setup'!$B$22&gt;0,"",'Demand'!C37)</x:f>
        <x:v>1</x:v>
      </x:c>
      <x:c r="D37" s="24" t="n">
        <x:f>IF('Setup'!$B$22&gt;0,"",ROUND('Demand'!D37*'Setup'!B18,0))</x:f>
        <x:v>10800</x:v>
      </x:c>
      <x:c r="E37" s="24" t="n">
        <x:f>IF('Setup'!$B$22&gt;0,"",L36)</x:f>
        <x:v>58485</x:v>
      </x:c>
      <x:c r="F37" s="24" t="n">
        <x:f>IF('Setup'!$B$22&gt;0,"",D37+E37)</x:f>
        <x:v>69285</x:v>
      </x:c>
      <x:c r="G37" s="24" t="n">
        <x:f>IF('Setup'!$B$22&gt;0,"",'Capacity'!N54*C37)</x:f>
        <x:v>9258</x:v>
      </x:c>
      <x:c r="H37" s="24" t="n">
        <x:f>IF('Setup'!$B$22&gt;0,"",'Capacity'!N55*C37)</x:f>
        <x:v>8659</x:v>
      </x:c>
      <x:c r="I37" s="24" t="n">
        <x:f>IF('Setup'!$B$22&gt;0,"",'Capacity'!N56*C37)</x:f>
        <x:v>8000</x:v>
      </x:c>
      <x:c r="J37" s="24" t="n">
        <x:f>IF('Setup'!$B$22&gt;0,"",MIN(G37:I37))</x:f>
        <x:v>8000</x:v>
      </x:c>
      <x:c r="K37" s="24" t="n">
        <x:f>IF('Setup'!$B$22&gt;0,"",MIN(F37,J37))</x:f>
        <x:v>8000</x:v>
      </x:c>
      <x:c r="L37" s="24" t="n">
        <x:f>IF('Setup'!$B$22&gt;0,"",MAX(0,F37-K37))</x:f>
        <x:v>61285</x:v>
      </x:c>
      <x:c r="M37" s="23" t="n">
        <x:f>IF('Setup'!$B$22&gt;0,"",IF(J37=0,0,K37/J37))</x:f>
        <x:v>1</x:v>
      </x:c>
      <x:c r="N37" s="25" t="n">
        <x:f>IF('Setup'!$B$22&gt;0,"",SUM('Capacity'!Z54:Z56)*C37)</x:f>
        <x:v>13442.12</x:v>
      </x:c>
      <x:c r="O37" s="25" t="n">
        <x:f>IF('Setup'!$B$22&gt;0,"",SUM('Capacity'!Q54:Q56)*C37)</x:f>
        <x:v>4109.639999999999</x:v>
      </x:c>
      <x:c r="P37" s="1" t="str">
        <x:f>IF('Setup'!$B$22&gt;0,"",IF(C37=0,"Closed",INDEX('Processes'!$A$6:$A$8,MATCH(J37,G37:I37,0))))</x:f>
        <x:v>Ship</x:v>
      </x:c>
      <x:c r="Q37" s="1" t="n">
        <x:f>IF('Setup'!$B$22&gt;0,"",IF(C37=0,0,MAX(0,ROUNDUP(F37/'Capacity'!X54-'Capacity'!Y54,0)-'Capacity'!G54)))</x:f>
        <x:v>177</x:v>
      </x:c>
      <x:c r="R37" s="1" t="n">
        <x:f>IF('Setup'!$B$22&gt;0,"",IF(C37=0,0,MAX(0,ROUNDUP(F37/'Capacity'!X55-'Capacity'!Y55,0)-'Capacity'!G55)))</x:f>
        <x:v>149</x:v>
      </x:c>
      <x:c r="S37" s="1" t="n">
        <x:f>IF('Setup'!$B$22&gt;0,"",IF(C37=0,0,MAX(0,ROUNDUP(F37/'Capacity'!X56-'Capacity'!Y56,0)-'Capacity'!G56)))</x:f>
        <x:v>90</x:v>
      </x:c>
      <x:c r="T37" s="1" t="str">
        <x:f>IF('Setup'!$B$22&gt;0,"",IF(C37=0,IF(L37&gt;'Setup'!$B$7,"Backlog on closed day","Closed"),IF(OR(V37&gt;0,W37&gt;0),"Resolve staffing limits",IF(U37&gt;0,"Resolve physical limit",IF(L37&gt;'Setup'!$B$7,"Close labor capacity gap",IF(L37&gt;0,"Backlog below threshold","Within daily capacity"))))))</x:f>
        <x:v>Resolve physical limit</x:v>
      </x:c>
      <x:c r="U37" s="1" t="n">
        <x:f>IF('Setup'!$B$22&gt;0,"",IF(C37=0,0,MAX(0,F37-INT(MIN('Capacity'!M54:M56)))))</x:f>
        <x:v>61285</x:v>
      </x:c>
      <x:c r="V37" s="1" t="n">
        <x:f>IF('Setup'!$B$22&gt;0,"",SUM('Capacity'!T54:T56)*C37)</x:f>
        <x:v>0</x:v>
      </x:c>
      <x:c r="W37" s="1" t="n">
        <x:f>IF('Setup'!$B$22&gt;0,"",SUM('Capacity'!W54:W56)*C37)</x:f>
        <x:v>0</x:v>
      </x:c>
    </x:row>
    <x:row r="38" ht="23" customHeight="1">
      <x:c r="A38" s="20" t="n">
        <x:f>IF('Setup'!$B$22&gt;0,"",'Demand'!A38)</x:f>
        <x:v>46332</x:v>
      </x:c>
      <x:c r="B38" s="1" t="n">
        <x:f>IF('Setup'!$B$22&gt;0,"",'Demand'!B38)</x:f>
        <x:v>5</x:v>
      </x:c>
      <x:c r="C38" s="1" t="n">
        <x:f>IF('Setup'!$B$22&gt;0,"",'Demand'!C38)</x:f>
        <x:v>1</x:v>
      </x:c>
      <x:c r="D38" s="24" t="n">
        <x:f>IF('Setup'!$B$22&gt;0,"",ROUND('Demand'!D38*'Setup'!B18,0))</x:f>
        <x:v>10800</x:v>
      </x:c>
      <x:c r="E38" s="24" t="n">
        <x:f>IF('Setup'!$B$22&gt;0,"",L37)</x:f>
        <x:v>61285</x:v>
      </x:c>
      <x:c r="F38" s="24" t="n">
        <x:f>IF('Setup'!$B$22&gt;0,"",D38+E38)</x:f>
        <x:v>72085</x:v>
      </x:c>
      <x:c r="G38" s="24" t="n">
        <x:f>IF('Setup'!$B$22&gt;0,"",'Capacity'!N54*C38)</x:f>
        <x:v>9258</x:v>
      </x:c>
      <x:c r="H38" s="24" t="n">
        <x:f>IF('Setup'!$B$22&gt;0,"",'Capacity'!N55*C38)</x:f>
        <x:v>8659</x:v>
      </x:c>
      <x:c r="I38" s="24" t="n">
        <x:f>IF('Setup'!$B$22&gt;0,"",'Capacity'!N56*C38)</x:f>
        <x:v>8000</x:v>
      </x:c>
      <x:c r="J38" s="24" t="n">
        <x:f>IF('Setup'!$B$22&gt;0,"",MIN(G38:I38))</x:f>
        <x:v>8000</x:v>
      </x:c>
      <x:c r="K38" s="24" t="n">
        <x:f>IF('Setup'!$B$22&gt;0,"",MIN(F38,J38))</x:f>
        <x:v>8000</x:v>
      </x:c>
      <x:c r="L38" s="24" t="n">
        <x:f>IF('Setup'!$B$22&gt;0,"",MAX(0,F38-K38))</x:f>
        <x:v>64085</x:v>
      </x:c>
      <x:c r="M38" s="23" t="n">
        <x:f>IF('Setup'!$B$22&gt;0,"",IF(J38=0,0,K38/J38))</x:f>
        <x:v>1</x:v>
      </x:c>
      <x:c r="N38" s="25" t="n">
        <x:f>IF('Setup'!$B$22&gt;0,"",SUM('Capacity'!Z54:Z56)*C38)</x:f>
        <x:v>13442.12</x:v>
      </x:c>
      <x:c r="O38" s="25" t="n">
        <x:f>IF('Setup'!$B$22&gt;0,"",SUM('Capacity'!Q54:Q56)*C38)</x:f>
        <x:v>4109.639999999999</x:v>
      </x:c>
      <x:c r="P38" s="1" t="str">
        <x:f>IF('Setup'!$B$22&gt;0,"",IF(C38=0,"Closed",INDEX('Processes'!$A$6:$A$8,MATCH(J38,G38:I38,0))))</x:f>
        <x:v>Ship</x:v>
      </x:c>
      <x:c r="Q38" s="1" t="n">
        <x:f>IF('Setup'!$B$22&gt;0,"",IF(C38=0,0,MAX(0,ROUNDUP(F38/'Capacity'!X54-'Capacity'!Y54,0)-'Capacity'!G54)))</x:f>
        <x:v>185</x:v>
      </x:c>
      <x:c r="R38" s="1" t="n">
        <x:f>IF('Setup'!$B$22&gt;0,"",IF(C38=0,0,MAX(0,ROUNDUP(F38/'Capacity'!X55-'Capacity'!Y55,0)-'Capacity'!G55)))</x:f>
        <x:v>156</x:v>
      </x:c>
      <x:c r="S38" s="1" t="n">
        <x:f>IF('Setup'!$B$22&gt;0,"",IF(C38=0,0,MAX(0,ROUNDUP(F38/'Capacity'!X56-'Capacity'!Y56,0)-'Capacity'!G56)))</x:f>
        <x:v>94</x:v>
      </x:c>
      <x:c r="T38" s="1" t="str">
        <x:f>IF('Setup'!$B$22&gt;0,"",IF(C38=0,IF(L38&gt;'Setup'!$B$7,"Backlog on closed day","Closed"),IF(OR(V38&gt;0,W38&gt;0),"Resolve staffing limits",IF(U38&gt;0,"Resolve physical limit",IF(L38&gt;'Setup'!$B$7,"Close labor capacity gap",IF(L38&gt;0,"Backlog below threshold","Within daily capacity"))))))</x:f>
        <x:v>Resolve physical limit</x:v>
      </x:c>
      <x:c r="U38" s="1" t="n">
        <x:f>IF('Setup'!$B$22&gt;0,"",IF(C38=0,0,MAX(0,F38-INT(MIN('Capacity'!M54:M56)))))</x:f>
        <x:v>64085</x:v>
      </x:c>
      <x:c r="V38" s="1" t="n">
        <x:f>IF('Setup'!$B$22&gt;0,"",SUM('Capacity'!T54:T56)*C38)</x:f>
        <x:v>0</x:v>
      </x:c>
      <x:c r="W38" s="1" t="n">
        <x:f>IF('Setup'!$B$22&gt;0,"",SUM('Capacity'!W54:W56)*C38)</x:f>
        <x:v>0</x:v>
      </x:c>
    </x:row>
    <x:row r="39" ht="23" customHeight="1">
      <x:c r="A39" s="20" t="n">
        <x:f>IF('Setup'!$B$22&gt;0,"",'Demand'!A39)</x:f>
        <x:v>46333</x:v>
      </x:c>
      <x:c r="B39" s="1" t="n">
        <x:f>IF('Setup'!$B$22&gt;0,"",'Demand'!B39)</x:f>
        <x:v>5</x:v>
      </x:c>
      <x:c r="C39" s="1" t="n">
        <x:f>IF('Setup'!$B$22&gt;0,"",'Demand'!C39)</x:f>
        <x:v>0</x:v>
      </x:c>
      <x:c r="D39" s="24" t="n">
        <x:f>IF('Setup'!$B$22&gt;0,"",ROUND('Demand'!D39*'Setup'!B18,0))</x:f>
        <x:v>0</x:v>
      </x:c>
      <x:c r="E39" s="24" t="n">
        <x:f>IF('Setup'!$B$22&gt;0,"",L38)</x:f>
        <x:v>64085</x:v>
      </x:c>
      <x:c r="F39" s="24" t="n">
        <x:f>IF('Setup'!$B$22&gt;0,"",D39+E39)</x:f>
        <x:v>64085</x:v>
      </x:c>
      <x:c r="G39" s="24" t="n">
        <x:f>IF('Setup'!$B$22&gt;0,"",'Capacity'!N54*C39)</x:f>
        <x:v>0</x:v>
      </x:c>
      <x:c r="H39" s="24" t="n">
        <x:f>IF('Setup'!$B$22&gt;0,"",'Capacity'!N55*C39)</x:f>
        <x:v>0</x:v>
      </x:c>
      <x:c r="I39" s="24" t="n">
        <x:f>IF('Setup'!$B$22&gt;0,"",'Capacity'!N56*C39)</x:f>
        <x:v>0</x:v>
      </x:c>
      <x:c r="J39" s="24" t="n">
        <x:f>IF('Setup'!$B$22&gt;0,"",MIN(G39:I39))</x:f>
        <x:v>0</x:v>
      </x:c>
      <x:c r="K39" s="24" t="n">
        <x:f>IF('Setup'!$B$22&gt;0,"",MIN(F39,J39))</x:f>
        <x:v>0</x:v>
      </x:c>
      <x:c r="L39" s="24" t="n">
        <x:f>IF('Setup'!$B$22&gt;0,"",MAX(0,F39-K39))</x:f>
        <x:v>64085</x:v>
      </x:c>
      <x:c r="M39" s="23" t="n">
        <x:f>IF('Setup'!$B$22&gt;0,"",IF(J39=0,0,K39/J39))</x:f>
        <x:v>0</x:v>
      </x:c>
      <x:c r="N39" s="25" t="n">
        <x:f>IF('Setup'!$B$22&gt;0,"",SUM('Capacity'!Z54:Z56)*C39)</x:f>
        <x:v>0</x:v>
      </x:c>
      <x:c r="O39" s="25" t="n">
        <x:f>IF('Setup'!$B$22&gt;0,"",SUM('Capacity'!Q54:Q56)*C39)</x:f>
        <x:v>0</x:v>
      </x:c>
      <x:c r="P39" s="1" t="str">
        <x:f>IF('Setup'!$B$22&gt;0,"",IF(C39=0,"Closed",INDEX('Processes'!$A$6:$A$8,MATCH(J39,G39:I39,0))))</x:f>
        <x:v>Closed</x:v>
      </x:c>
      <x:c r="Q39" s="1" t="n">
        <x:f>IF('Setup'!$B$22&gt;0,"",IF(C39=0,0,MAX(0,ROUNDUP(F39/'Capacity'!X54-'Capacity'!Y54,0)-'Capacity'!G54)))</x:f>
        <x:v>0</x:v>
      </x:c>
      <x:c r="R39" s="1" t="n">
        <x:f>IF('Setup'!$B$22&gt;0,"",IF(C39=0,0,MAX(0,ROUNDUP(F39/'Capacity'!X55-'Capacity'!Y55,0)-'Capacity'!G55)))</x:f>
        <x:v>0</x:v>
      </x:c>
      <x:c r="S39" s="1" t="n">
        <x:f>IF('Setup'!$B$22&gt;0,"",IF(C39=0,0,MAX(0,ROUNDUP(F39/'Capacity'!X56-'Capacity'!Y56,0)-'Capacity'!G56)))</x:f>
        <x:v>0</x:v>
      </x:c>
      <x:c r="T39" s="1" t="str">
        <x:f>IF('Setup'!$B$22&gt;0,"",IF(C39=0,IF(L39&gt;'Setup'!$B$7,"Backlog on closed day","Closed"),IF(OR(V39&gt;0,W39&gt;0),"Resolve staffing limits",IF(U39&gt;0,"Resolve physical limit",IF(L39&gt;'Setup'!$B$7,"Close labor capacity gap",IF(L39&gt;0,"Backlog below threshold","Within daily capacity"))))))</x:f>
        <x:v>Backlog on closed day</x:v>
      </x:c>
      <x:c r="U39" s="1" t="n">
        <x:f>IF('Setup'!$B$22&gt;0,"",IF(C39=0,0,MAX(0,F39-INT(MIN('Capacity'!M54:M56)))))</x:f>
        <x:v>0</x:v>
      </x:c>
      <x:c r="V39" s="1" t="n">
        <x:f>IF('Setup'!$B$22&gt;0,"",SUM('Capacity'!T54:T56)*C39)</x:f>
        <x:v>0</x:v>
      </x:c>
      <x:c r="W39" s="1" t="n">
        <x:f>IF('Setup'!$B$22&gt;0,"",SUM('Capacity'!W54:W56)*C39)</x:f>
        <x:v>0</x:v>
      </x:c>
    </x:row>
    <x:row r="40" ht="23" customHeight="1">
      <x:c r="A40" s="20" t="n">
        <x:f>IF('Setup'!$B$22&gt;0,"",'Demand'!A40)</x:f>
        <x:v>46334</x:v>
      </x:c>
      <x:c r="B40" s="1" t="n">
        <x:f>IF('Setup'!$B$22&gt;0,"",'Demand'!B40)</x:f>
        <x:v>5</x:v>
      </x:c>
      <x:c r="C40" s="1" t="n">
        <x:f>IF('Setup'!$B$22&gt;0,"",'Demand'!C40)</x:f>
        <x:v>0</x:v>
      </x:c>
      <x:c r="D40" s="24" t="n">
        <x:f>IF('Setup'!$B$22&gt;0,"",ROUND('Demand'!D40*'Setup'!B18,0))</x:f>
        <x:v>0</x:v>
      </x:c>
      <x:c r="E40" s="24" t="n">
        <x:f>IF('Setup'!$B$22&gt;0,"",L39)</x:f>
        <x:v>64085</x:v>
      </x:c>
      <x:c r="F40" s="24" t="n">
        <x:f>IF('Setup'!$B$22&gt;0,"",D40+E40)</x:f>
        <x:v>64085</x:v>
      </x:c>
      <x:c r="G40" s="24" t="n">
        <x:f>IF('Setup'!$B$22&gt;0,"",'Capacity'!N54*C40)</x:f>
        <x:v>0</x:v>
      </x:c>
      <x:c r="H40" s="24" t="n">
        <x:f>IF('Setup'!$B$22&gt;0,"",'Capacity'!N55*C40)</x:f>
        <x:v>0</x:v>
      </x:c>
      <x:c r="I40" s="24" t="n">
        <x:f>IF('Setup'!$B$22&gt;0,"",'Capacity'!N56*C40)</x:f>
        <x:v>0</x:v>
      </x:c>
      <x:c r="J40" s="24" t="n">
        <x:f>IF('Setup'!$B$22&gt;0,"",MIN(G40:I40))</x:f>
        <x:v>0</x:v>
      </x:c>
      <x:c r="K40" s="24" t="n">
        <x:f>IF('Setup'!$B$22&gt;0,"",MIN(F40,J40))</x:f>
        <x:v>0</x:v>
      </x:c>
      <x:c r="L40" s="24" t="n">
        <x:f>IF('Setup'!$B$22&gt;0,"",MAX(0,F40-K40))</x:f>
        <x:v>64085</x:v>
      </x:c>
      <x:c r="M40" s="23" t="n">
        <x:f>IF('Setup'!$B$22&gt;0,"",IF(J40=0,0,K40/J40))</x:f>
        <x:v>0</x:v>
      </x:c>
      <x:c r="N40" s="25" t="n">
        <x:f>IF('Setup'!$B$22&gt;0,"",SUM('Capacity'!Z54:Z56)*C40)</x:f>
        <x:v>0</x:v>
      </x:c>
      <x:c r="O40" s="25" t="n">
        <x:f>IF('Setup'!$B$22&gt;0,"",SUM('Capacity'!Q54:Q56)*C40)</x:f>
        <x:v>0</x:v>
      </x:c>
      <x:c r="P40" s="1" t="str">
        <x:f>IF('Setup'!$B$22&gt;0,"",IF(C40=0,"Closed",INDEX('Processes'!$A$6:$A$8,MATCH(J40,G40:I40,0))))</x:f>
        <x:v>Closed</x:v>
      </x:c>
      <x:c r="Q40" s="1" t="n">
        <x:f>IF('Setup'!$B$22&gt;0,"",IF(C40=0,0,MAX(0,ROUNDUP(F40/'Capacity'!X54-'Capacity'!Y54,0)-'Capacity'!G54)))</x:f>
        <x:v>0</x:v>
      </x:c>
      <x:c r="R40" s="1" t="n">
        <x:f>IF('Setup'!$B$22&gt;0,"",IF(C40=0,0,MAX(0,ROUNDUP(F40/'Capacity'!X55-'Capacity'!Y55,0)-'Capacity'!G55)))</x:f>
        <x:v>0</x:v>
      </x:c>
      <x:c r="S40" s="1" t="n">
        <x:f>IF('Setup'!$B$22&gt;0,"",IF(C40=0,0,MAX(0,ROUNDUP(F40/'Capacity'!X56-'Capacity'!Y56,0)-'Capacity'!G56)))</x:f>
        <x:v>0</x:v>
      </x:c>
      <x:c r="T40" s="1" t="str">
        <x:f>IF('Setup'!$B$22&gt;0,"",IF(C40=0,IF(L40&gt;'Setup'!$B$7,"Backlog on closed day","Closed"),IF(OR(V40&gt;0,W40&gt;0),"Resolve staffing limits",IF(U40&gt;0,"Resolve physical limit",IF(L40&gt;'Setup'!$B$7,"Close labor capacity gap",IF(L40&gt;0,"Backlog below threshold","Within daily capacity"))))))</x:f>
        <x:v>Backlog on closed day</x:v>
      </x:c>
      <x:c r="U40" s="1" t="n">
        <x:f>IF('Setup'!$B$22&gt;0,"",IF(C40=0,0,MAX(0,F40-INT(MIN('Capacity'!M54:M56)))))</x:f>
        <x:v>0</x:v>
      </x:c>
      <x:c r="V40" s="1" t="n">
        <x:f>IF('Setup'!$B$22&gt;0,"",SUM('Capacity'!T54:T56)*C40)</x:f>
        <x:v>0</x:v>
      </x:c>
      <x:c r="W40" s="1" t="n">
        <x:f>IF('Setup'!$B$22&gt;0,"",SUM('Capacity'!W54:W56)*C40)</x:f>
        <x:v>0</x:v>
      </x:c>
    </x:row>
    <x:row r="41" ht="23" customHeight="1">
      <x:c r="A41" s="20" t="n">
        <x:f>IF('Setup'!$B$22&gt;0,"",'Demand'!A41)</x:f>
        <x:v>46335</x:v>
      </x:c>
      <x:c r="B41" s="1" t="n">
        <x:f>IF('Setup'!$B$22&gt;0,"",'Demand'!B41)</x:f>
        <x:v>6</x:v>
      </x:c>
      <x:c r="C41" s="1" t="n">
        <x:f>IF('Setup'!$B$22&gt;0,"",'Demand'!C41)</x:f>
        <x:v>1</x:v>
      </x:c>
      <x:c r="D41" s="24" t="n">
        <x:f>IF('Setup'!$B$22&gt;0,"",ROUND('Demand'!D41*'Setup'!B18,0))</x:f>
        <x:v>13200</x:v>
      </x:c>
      <x:c r="E41" s="24" t="n">
        <x:f>IF('Setup'!$B$22&gt;0,"",L40)</x:f>
        <x:v>64085</x:v>
      </x:c>
      <x:c r="F41" s="24" t="n">
        <x:f>IF('Setup'!$B$22&gt;0,"",D41+E41)</x:f>
        <x:v>77285</x:v>
      </x:c>
      <x:c r="G41" s="24" t="n">
        <x:f>IF('Setup'!$B$22&gt;0,"",'Capacity'!N57*C41)</x:f>
        <x:v>9395</x:v>
      </x:c>
      <x:c r="H41" s="24" t="n">
        <x:f>IF('Setup'!$B$22&gt;0,"",'Capacity'!N58*C41)</x:f>
        <x:v>8823</x:v>
      </x:c>
      <x:c r="I41" s="24" t="n">
        <x:f>IF('Setup'!$B$22&gt;0,"",'Capacity'!N59*C41)</x:f>
        <x:v>8000</x:v>
      </x:c>
      <x:c r="J41" s="24" t="n">
        <x:f>IF('Setup'!$B$22&gt;0,"",MIN(G41:I41))</x:f>
        <x:v>8000</x:v>
      </x:c>
      <x:c r="K41" s="24" t="n">
        <x:f>IF('Setup'!$B$22&gt;0,"",MIN(F41,J41))</x:f>
        <x:v>8000</x:v>
      </x:c>
      <x:c r="L41" s="24" t="n">
        <x:f>IF('Setup'!$B$22&gt;0,"",MAX(0,F41-K41))</x:f>
        <x:v>69285</x:v>
      </x:c>
      <x:c r="M41" s="23" t="n">
        <x:f>IF('Setup'!$B$22&gt;0,"",IF(J41=0,0,K41/J41))</x:f>
        <x:v>1</x:v>
      </x:c>
      <x:c r="N41" s="25" t="n">
        <x:f>IF('Setup'!$B$22&gt;0,"",SUM('Capacity'!Z57:Z59)*C41)</x:f>
        <x:v>13442.12</x:v>
      </x:c>
      <x:c r="O41" s="25" t="n">
        <x:f>IF('Setup'!$B$22&gt;0,"",SUM('Capacity'!Q57:Q59)*C41)</x:f>
        <x:v>4109.639999999999</x:v>
      </x:c>
      <x:c r="P41" s="1" t="str">
        <x:f>IF('Setup'!$B$22&gt;0,"",IF(C41=0,"Closed",INDEX('Processes'!$A$6:$A$8,MATCH(J41,G41:I41,0))))</x:f>
        <x:v>Ship</x:v>
      </x:c>
      <x:c r="Q41" s="1" t="n">
        <x:f>IF('Setup'!$B$22&gt;0,"",IF(C41=0,0,MAX(0,ROUNDUP(F41/'Capacity'!X57-'Capacity'!Y57,0)-'Capacity'!G57)))</x:f>
        <x:v>200</x:v>
      </x:c>
      <x:c r="R41" s="1" t="n">
        <x:f>IF('Setup'!$B$22&gt;0,"",IF(C41=0,0,MAX(0,ROUNDUP(F41/'Capacity'!X58-'Capacity'!Y58,0)-'Capacity'!G58)))</x:f>
        <x:v>168</x:v>
      </x:c>
      <x:c r="S41" s="1" t="n">
        <x:f>IF('Setup'!$B$22&gt;0,"",IF(C41=0,0,MAX(0,ROUNDUP(F41/'Capacity'!X59-'Capacity'!Y59,0)-'Capacity'!G59)))</x:f>
        <x:v>101</x:v>
      </x:c>
      <x:c r="T41" s="1" t="str">
        <x:f>IF('Setup'!$B$22&gt;0,"",IF(C41=0,IF(L41&gt;'Setup'!$B$7,"Backlog on closed day","Closed"),IF(OR(V41&gt;0,W41&gt;0),"Resolve staffing limits",IF(U41&gt;0,"Resolve physical limit",IF(L41&gt;'Setup'!$B$7,"Close labor capacity gap",IF(L41&gt;0,"Backlog below threshold","Within daily capacity"))))))</x:f>
        <x:v>Resolve physical limit</x:v>
      </x:c>
      <x:c r="U41" s="1" t="n">
        <x:f>IF('Setup'!$B$22&gt;0,"",IF(C41=0,0,MAX(0,F41-INT(MIN('Capacity'!M57:M59)))))</x:f>
        <x:v>69285</x:v>
      </x:c>
      <x:c r="V41" s="1" t="n">
        <x:f>IF('Setup'!$B$22&gt;0,"",SUM('Capacity'!T57:T59)*C41)</x:f>
        <x:v>0</x:v>
      </x:c>
      <x:c r="W41" s="1" t="n">
        <x:f>IF('Setup'!$B$22&gt;0,"",SUM('Capacity'!W57:W59)*C41)</x:f>
        <x:v>0</x:v>
      </x:c>
    </x:row>
    <x:row r="42" ht="23" customHeight="1">
      <x:c r="A42" s="20" t="n">
        <x:f>IF('Setup'!$B$22&gt;0,"",'Demand'!A42)</x:f>
        <x:v>46336</x:v>
      </x:c>
      <x:c r="B42" s="1" t="n">
        <x:f>IF('Setup'!$B$22&gt;0,"",'Demand'!B42)</x:f>
        <x:v>6</x:v>
      </x:c>
      <x:c r="C42" s="1" t="n">
        <x:f>IF('Setup'!$B$22&gt;0,"",'Demand'!C42)</x:f>
        <x:v>1</x:v>
      </x:c>
      <x:c r="D42" s="24" t="n">
        <x:f>IF('Setup'!$B$22&gt;0,"",ROUND('Demand'!D42*'Setup'!B18,0))</x:f>
        <x:v>13200</x:v>
      </x:c>
      <x:c r="E42" s="24" t="n">
        <x:f>IF('Setup'!$B$22&gt;0,"",L41)</x:f>
        <x:v>69285</x:v>
      </x:c>
      <x:c r="F42" s="24" t="n">
        <x:f>IF('Setup'!$B$22&gt;0,"",D42+E42)</x:f>
        <x:v>82485</x:v>
      </x:c>
      <x:c r="G42" s="24" t="n">
        <x:f>IF('Setup'!$B$22&gt;0,"",'Capacity'!N57*C42)</x:f>
        <x:v>9395</x:v>
      </x:c>
      <x:c r="H42" s="24" t="n">
        <x:f>IF('Setup'!$B$22&gt;0,"",'Capacity'!N58*C42)</x:f>
        <x:v>8823</x:v>
      </x:c>
      <x:c r="I42" s="24" t="n">
        <x:f>IF('Setup'!$B$22&gt;0,"",'Capacity'!N59*C42)</x:f>
        <x:v>8000</x:v>
      </x:c>
      <x:c r="J42" s="24" t="n">
        <x:f>IF('Setup'!$B$22&gt;0,"",MIN(G42:I42))</x:f>
        <x:v>8000</x:v>
      </x:c>
      <x:c r="K42" s="24" t="n">
        <x:f>IF('Setup'!$B$22&gt;0,"",MIN(F42,J42))</x:f>
        <x:v>8000</x:v>
      </x:c>
      <x:c r="L42" s="24" t="n">
        <x:f>IF('Setup'!$B$22&gt;0,"",MAX(0,F42-K42))</x:f>
        <x:v>74485</x:v>
      </x:c>
      <x:c r="M42" s="23" t="n">
        <x:f>IF('Setup'!$B$22&gt;0,"",IF(J42=0,0,K42/J42))</x:f>
        <x:v>1</x:v>
      </x:c>
      <x:c r="N42" s="25" t="n">
        <x:f>IF('Setup'!$B$22&gt;0,"",SUM('Capacity'!Z57:Z59)*C42)</x:f>
        <x:v>13442.12</x:v>
      </x:c>
      <x:c r="O42" s="25" t="n">
        <x:f>IF('Setup'!$B$22&gt;0,"",SUM('Capacity'!Q57:Q59)*C42)</x:f>
        <x:v>4109.639999999999</x:v>
      </x:c>
      <x:c r="P42" s="1" t="str">
        <x:f>IF('Setup'!$B$22&gt;0,"",IF(C42=0,"Closed",INDEX('Processes'!$A$6:$A$8,MATCH(J42,G42:I42,0))))</x:f>
        <x:v>Ship</x:v>
      </x:c>
      <x:c r="Q42" s="1" t="n">
        <x:f>IF('Setup'!$B$22&gt;0,"",IF(C42=0,0,MAX(0,ROUNDUP(F42/'Capacity'!X57-'Capacity'!Y57,0)-'Capacity'!G57)))</x:f>
        <x:v>215</x:v>
      </x:c>
      <x:c r="R42" s="1" t="n">
        <x:f>IF('Setup'!$B$22&gt;0,"",IF(C42=0,0,MAX(0,ROUNDUP(F42/'Capacity'!X58-'Capacity'!Y58,0)-'Capacity'!G58)))</x:f>
        <x:v>181</x:v>
      </x:c>
      <x:c r="S42" s="1" t="n">
        <x:f>IF('Setup'!$B$22&gt;0,"",IF(C42=0,0,MAX(0,ROUNDUP(F42/'Capacity'!X59-'Capacity'!Y59,0)-'Capacity'!G59)))</x:f>
        <x:v>109</x:v>
      </x:c>
      <x:c r="T42" s="1" t="str">
        <x:f>IF('Setup'!$B$22&gt;0,"",IF(C42=0,IF(L42&gt;'Setup'!$B$7,"Backlog on closed day","Closed"),IF(OR(V42&gt;0,W42&gt;0),"Resolve staffing limits",IF(U42&gt;0,"Resolve physical limit",IF(L42&gt;'Setup'!$B$7,"Close labor capacity gap",IF(L42&gt;0,"Backlog below threshold","Within daily capacity"))))))</x:f>
        <x:v>Resolve physical limit</x:v>
      </x:c>
      <x:c r="U42" s="1" t="n">
        <x:f>IF('Setup'!$B$22&gt;0,"",IF(C42=0,0,MAX(0,F42-INT(MIN('Capacity'!M57:M59)))))</x:f>
        <x:v>74485</x:v>
      </x:c>
      <x:c r="V42" s="1" t="n">
        <x:f>IF('Setup'!$B$22&gt;0,"",SUM('Capacity'!T57:T59)*C42)</x:f>
        <x:v>0</x:v>
      </x:c>
      <x:c r="W42" s="1" t="n">
        <x:f>IF('Setup'!$B$22&gt;0,"",SUM('Capacity'!W57:W59)*C42)</x:f>
        <x:v>0</x:v>
      </x:c>
    </x:row>
    <x:row r="43" ht="23" customHeight="1">
      <x:c r="A43" s="20" t="n">
        <x:f>IF('Setup'!$B$22&gt;0,"",'Demand'!A43)</x:f>
        <x:v>46337</x:v>
      </x:c>
      <x:c r="B43" s="1" t="n">
        <x:f>IF('Setup'!$B$22&gt;0,"",'Demand'!B43)</x:f>
        <x:v>6</x:v>
      </x:c>
      <x:c r="C43" s="1" t="n">
        <x:f>IF('Setup'!$B$22&gt;0,"",'Demand'!C43)</x:f>
        <x:v>1</x:v>
      </x:c>
      <x:c r="D43" s="24" t="n">
        <x:f>IF('Setup'!$B$22&gt;0,"",ROUND('Demand'!D43*'Setup'!B18,0))</x:f>
        <x:v>13200</x:v>
      </x:c>
      <x:c r="E43" s="24" t="n">
        <x:f>IF('Setup'!$B$22&gt;0,"",L42)</x:f>
        <x:v>74485</x:v>
      </x:c>
      <x:c r="F43" s="24" t="n">
        <x:f>IF('Setup'!$B$22&gt;0,"",D43+E43)</x:f>
        <x:v>87685</x:v>
      </x:c>
      <x:c r="G43" s="24" t="n">
        <x:f>IF('Setup'!$B$22&gt;0,"",'Capacity'!N57*C43)</x:f>
        <x:v>9395</x:v>
      </x:c>
      <x:c r="H43" s="24" t="n">
        <x:f>IF('Setup'!$B$22&gt;0,"",'Capacity'!N58*C43)</x:f>
        <x:v>8823</x:v>
      </x:c>
      <x:c r="I43" s="24" t="n">
        <x:f>IF('Setup'!$B$22&gt;0,"",'Capacity'!N59*C43)</x:f>
        <x:v>8000</x:v>
      </x:c>
      <x:c r="J43" s="24" t="n">
        <x:f>IF('Setup'!$B$22&gt;0,"",MIN(G43:I43))</x:f>
        <x:v>8000</x:v>
      </x:c>
      <x:c r="K43" s="24" t="n">
        <x:f>IF('Setup'!$B$22&gt;0,"",MIN(F43,J43))</x:f>
        <x:v>8000</x:v>
      </x:c>
      <x:c r="L43" s="24" t="n">
        <x:f>IF('Setup'!$B$22&gt;0,"",MAX(0,F43-K43))</x:f>
        <x:v>79685</x:v>
      </x:c>
      <x:c r="M43" s="23" t="n">
        <x:f>IF('Setup'!$B$22&gt;0,"",IF(J43=0,0,K43/J43))</x:f>
        <x:v>1</x:v>
      </x:c>
      <x:c r="N43" s="25" t="n">
        <x:f>IF('Setup'!$B$22&gt;0,"",SUM('Capacity'!Z57:Z59)*C43)</x:f>
        <x:v>13442.12</x:v>
      </x:c>
      <x:c r="O43" s="25" t="n">
        <x:f>IF('Setup'!$B$22&gt;0,"",SUM('Capacity'!Q57:Q59)*C43)</x:f>
        <x:v>4109.639999999999</x:v>
      </x:c>
      <x:c r="P43" s="1" t="str">
        <x:f>IF('Setup'!$B$22&gt;0,"",IF(C43=0,"Closed",INDEX('Processes'!$A$6:$A$8,MATCH(J43,G43:I43,0))))</x:f>
        <x:v>Ship</x:v>
      </x:c>
      <x:c r="Q43" s="1" t="n">
        <x:f>IF('Setup'!$B$22&gt;0,"",IF(C43=0,0,MAX(0,ROUNDUP(F43/'Capacity'!X57-'Capacity'!Y57,0)-'Capacity'!G57)))</x:f>
        <x:v>230</x:v>
      </x:c>
      <x:c r="R43" s="1" t="n">
        <x:f>IF('Setup'!$B$22&gt;0,"",IF(C43=0,0,MAX(0,ROUNDUP(F43/'Capacity'!X58-'Capacity'!Y58,0)-'Capacity'!G58)))</x:f>
        <x:v>194</x:v>
      </x:c>
      <x:c r="S43" s="1" t="n">
        <x:f>IF('Setup'!$B$22&gt;0,"",IF(C43=0,0,MAX(0,ROUNDUP(F43/'Capacity'!X59-'Capacity'!Y59,0)-'Capacity'!G59)))</x:f>
        <x:v>117</x:v>
      </x:c>
      <x:c r="T43" s="1" t="str">
        <x:f>IF('Setup'!$B$22&gt;0,"",IF(C43=0,IF(L43&gt;'Setup'!$B$7,"Backlog on closed day","Closed"),IF(OR(V43&gt;0,W43&gt;0),"Resolve staffing limits",IF(U43&gt;0,"Resolve physical limit",IF(L43&gt;'Setup'!$B$7,"Close labor capacity gap",IF(L43&gt;0,"Backlog below threshold","Within daily capacity"))))))</x:f>
        <x:v>Resolve physical limit</x:v>
      </x:c>
      <x:c r="U43" s="1" t="n">
        <x:f>IF('Setup'!$B$22&gt;0,"",IF(C43=0,0,MAX(0,F43-INT(MIN('Capacity'!M57:M59)))))</x:f>
        <x:v>79685</x:v>
      </x:c>
      <x:c r="V43" s="1" t="n">
        <x:f>IF('Setup'!$B$22&gt;0,"",SUM('Capacity'!T57:T59)*C43)</x:f>
        <x:v>0</x:v>
      </x:c>
      <x:c r="W43" s="1" t="n">
        <x:f>IF('Setup'!$B$22&gt;0,"",SUM('Capacity'!W57:W59)*C43)</x:f>
        <x:v>0</x:v>
      </x:c>
    </x:row>
    <x:row r="44" ht="23" customHeight="1">
      <x:c r="A44" s="20" t="n">
        <x:f>IF('Setup'!$B$22&gt;0,"",'Demand'!A44)</x:f>
        <x:v>46338</x:v>
      </x:c>
      <x:c r="B44" s="1" t="n">
        <x:f>IF('Setup'!$B$22&gt;0,"",'Demand'!B44)</x:f>
        <x:v>6</x:v>
      </x:c>
      <x:c r="C44" s="1" t="n">
        <x:f>IF('Setup'!$B$22&gt;0,"",'Demand'!C44)</x:f>
        <x:v>1</x:v>
      </x:c>
      <x:c r="D44" s="24" t="n">
        <x:f>IF('Setup'!$B$22&gt;0,"",ROUND('Demand'!D44*'Setup'!B18,0))</x:f>
        <x:v>13200</x:v>
      </x:c>
      <x:c r="E44" s="24" t="n">
        <x:f>IF('Setup'!$B$22&gt;0,"",L43)</x:f>
        <x:v>79685</x:v>
      </x:c>
      <x:c r="F44" s="24" t="n">
        <x:f>IF('Setup'!$B$22&gt;0,"",D44+E44)</x:f>
        <x:v>92885</x:v>
      </x:c>
      <x:c r="G44" s="24" t="n">
        <x:f>IF('Setup'!$B$22&gt;0,"",'Capacity'!N57*C44)</x:f>
        <x:v>9395</x:v>
      </x:c>
      <x:c r="H44" s="24" t="n">
        <x:f>IF('Setup'!$B$22&gt;0,"",'Capacity'!N58*C44)</x:f>
        <x:v>8823</x:v>
      </x:c>
      <x:c r="I44" s="24" t="n">
        <x:f>IF('Setup'!$B$22&gt;0,"",'Capacity'!N59*C44)</x:f>
        <x:v>8000</x:v>
      </x:c>
      <x:c r="J44" s="24" t="n">
        <x:f>IF('Setup'!$B$22&gt;0,"",MIN(G44:I44))</x:f>
        <x:v>8000</x:v>
      </x:c>
      <x:c r="K44" s="24" t="n">
        <x:f>IF('Setup'!$B$22&gt;0,"",MIN(F44,J44))</x:f>
        <x:v>8000</x:v>
      </x:c>
      <x:c r="L44" s="24" t="n">
        <x:f>IF('Setup'!$B$22&gt;0,"",MAX(0,F44-K44))</x:f>
        <x:v>84885</x:v>
      </x:c>
      <x:c r="M44" s="23" t="n">
        <x:f>IF('Setup'!$B$22&gt;0,"",IF(J44=0,0,K44/J44))</x:f>
        <x:v>1</x:v>
      </x:c>
      <x:c r="N44" s="25" t="n">
        <x:f>IF('Setup'!$B$22&gt;0,"",SUM('Capacity'!Z57:Z59)*C44)</x:f>
        <x:v>13442.12</x:v>
      </x:c>
      <x:c r="O44" s="25" t="n">
        <x:f>IF('Setup'!$B$22&gt;0,"",SUM('Capacity'!Q57:Q59)*C44)</x:f>
        <x:v>4109.639999999999</x:v>
      </x:c>
      <x:c r="P44" s="1" t="str">
        <x:f>IF('Setup'!$B$22&gt;0,"",IF(C44=0,"Closed",INDEX('Processes'!$A$6:$A$8,MATCH(J44,G44:I44,0))))</x:f>
        <x:v>Ship</x:v>
      </x:c>
      <x:c r="Q44" s="1" t="n">
        <x:f>IF('Setup'!$B$22&gt;0,"",IF(C44=0,0,MAX(0,ROUNDUP(F44/'Capacity'!X57-'Capacity'!Y57,0)-'Capacity'!G57)))</x:f>
        <x:v>246</x:v>
      </x:c>
      <x:c r="R44" s="1" t="n">
        <x:f>IF('Setup'!$B$22&gt;0,"",IF(C44=0,0,MAX(0,ROUNDUP(F44/'Capacity'!X58-'Capacity'!Y58,0)-'Capacity'!G58)))</x:f>
        <x:v>206</x:v>
      </x:c>
      <x:c r="S44" s="1" t="n">
        <x:f>IF('Setup'!$B$22&gt;0,"",IF(C44=0,0,MAX(0,ROUNDUP(F44/'Capacity'!X59-'Capacity'!Y59,0)-'Capacity'!G59)))</x:f>
        <x:v>124</x:v>
      </x:c>
      <x:c r="T44" s="1" t="str">
        <x:f>IF('Setup'!$B$22&gt;0,"",IF(C44=0,IF(L44&gt;'Setup'!$B$7,"Backlog on closed day","Closed"),IF(OR(V44&gt;0,W44&gt;0),"Resolve staffing limits",IF(U44&gt;0,"Resolve physical limit",IF(L44&gt;'Setup'!$B$7,"Close labor capacity gap",IF(L44&gt;0,"Backlog below threshold","Within daily capacity"))))))</x:f>
        <x:v>Resolve physical limit</x:v>
      </x:c>
      <x:c r="U44" s="1" t="n">
        <x:f>IF('Setup'!$B$22&gt;0,"",IF(C44=0,0,MAX(0,F44-INT(MIN('Capacity'!M57:M59)))))</x:f>
        <x:v>84885</x:v>
      </x:c>
      <x:c r="V44" s="1" t="n">
        <x:f>IF('Setup'!$B$22&gt;0,"",SUM('Capacity'!T57:T59)*C44)</x:f>
        <x:v>0</x:v>
      </x:c>
      <x:c r="W44" s="1" t="n">
        <x:f>IF('Setup'!$B$22&gt;0,"",SUM('Capacity'!W57:W59)*C44)</x:f>
        <x:v>0</x:v>
      </x:c>
    </x:row>
    <x:row r="45" ht="23" customHeight="1">
      <x:c r="A45" s="20" t="n">
        <x:f>IF('Setup'!$B$22&gt;0,"",'Demand'!A45)</x:f>
        <x:v>46339</x:v>
      </x:c>
      <x:c r="B45" s="1" t="n">
        <x:f>IF('Setup'!$B$22&gt;0,"",'Demand'!B45)</x:f>
        <x:v>6</x:v>
      </x:c>
      <x:c r="C45" s="1" t="n">
        <x:f>IF('Setup'!$B$22&gt;0,"",'Demand'!C45)</x:f>
        <x:v>1</x:v>
      </x:c>
      <x:c r="D45" s="24" t="n">
        <x:f>IF('Setup'!$B$22&gt;0,"",ROUND('Demand'!D45*'Setup'!B18,0))</x:f>
        <x:v>13200</x:v>
      </x:c>
      <x:c r="E45" s="24" t="n">
        <x:f>IF('Setup'!$B$22&gt;0,"",L44)</x:f>
        <x:v>84885</x:v>
      </x:c>
      <x:c r="F45" s="24" t="n">
        <x:f>IF('Setup'!$B$22&gt;0,"",D45+E45)</x:f>
        <x:v>98085</x:v>
      </x:c>
      <x:c r="G45" s="24" t="n">
        <x:f>IF('Setup'!$B$22&gt;0,"",'Capacity'!N57*C45)</x:f>
        <x:v>9395</x:v>
      </x:c>
      <x:c r="H45" s="24" t="n">
        <x:f>IF('Setup'!$B$22&gt;0,"",'Capacity'!N58*C45)</x:f>
        <x:v>8823</x:v>
      </x:c>
      <x:c r="I45" s="24" t="n">
        <x:f>IF('Setup'!$B$22&gt;0,"",'Capacity'!N59*C45)</x:f>
        <x:v>8000</x:v>
      </x:c>
      <x:c r="J45" s="24" t="n">
        <x:f>IF('Setup'!$B$22&gt;0,"",MIN(G45:I45))</x:f>
        <x:v>8000</x:v>
      </x:c>
      <x:c r="K45" s="24" t="n">
        <x:f>IF('Setup'!$B$22&gt;0,"",MIN(F45,J45))</x:f>
        <x:v>8000</x:v>
      </x:c>
      <x:c r="L45" s="24" t="n">
        <x:f>IF('Setup'!$B$22&gt;0,"",MAX(0,F45-K45))</x:f>
        <x:v>90085</x:v>
      </x:c>
      <x:c r="M45" s="23" t="n">
        <x:f>IF('Setup'!$B$22&gt;0,"",IF(J45=0,0,K45/J45))</x:f>
        <x:v>1</x:v>
      </x:c>
      <x:c r="N45" s="25" t="n">
        <x:f>IF('Setup'!$B$22&gt;0,"",SUM('Capacity'!Z57:Z59)*C45)</x:f>
        <x:v>13442.12</x:v>
      </x:c>
      <x:c r="O45" s="25" t="n">
        <x:f>IF('Setup'!$B$22&gt;0,"",SUM('Capacity'!Q57:Q59)*C45)</x:f>
        <x:v>4109.639999999999</x:v>
      </x:c>
      <x:c r="P45" s="1" t="str">
        <x:f>IF('Setup'!$B$22&gt;0,"",IF(C45=0,"Closed",INDEX('Processes'!$A$6:$A$8,MATCH(J45,G45:I45,0))))</x:f>
        <x:v>Ship</x:v>
      </x:c>
      <x:c r="Q45" s="1" t="n">
        <x:f>IF('Setup'!$B$22&gt;0,"",IF(C45=0,0,MAX(0,ROUNDUP(F45/'Capacity'!X57-'Capacity'!Y57,0)-'Capacity'!G57)))</x:f>
        <x:v>261</x:v>
      </x:c>
      <x:c r="R45" s="1" t="n">
        <x:f>IF('Setup'!$B$22&gt;0,"",IF(C45=0,0,MAX(0,ROUNDUP(F45/'Capacity'!X58-'Capacity'!Y58,0)-'Capacity'!G58)))</x:f>
        <x:v>219</x:v>
      </x:c>
      <x:c r="S45" s="1" t="n">
        <x:f>IF('Setup'!$B$22&gt;0,"",IF(C45=0,0,MAX(0,ROUNDUP(F45/'Capacity'!X59-'Capacity'!Y59,0)-'Capacity'!G59)))</x:f>
        <x:v>132</x:v>
      </x:c>
      <x:c r="T45" s="1" t="str">
        <x:f>IF('Setup'!$B$22&gt;0,"",IF(C45=0,IF(L45&gt;'Setup'!$B$7,"Backlog on closed day","Closed"),IF(OR(V45&gt;0,W45&gt;0),"Resolve staffing limits",IF(U45&gt;0,"Resolve physical limit",IF(L45&gt;'Setup'!$B$7,"Close labor capacity gap",IF(L45&gt;0,"Backlog below threshold","Within daily capacity"))))))</x:f>
        <x:v>Resolve physical limit</x:v>
      </x:c>
      <x:c r="U45" s="1" t="n">
        <x:f>IF('Setup'!$B$22&gt;0,"",IF(C45=0,0,MAX(0,F45-INT(MIN('Capacity'!M57:M59)))))</x:f>
        <x:v>90085</x:v>
      </x:c>
      <x:c r="V45" s="1" t="n">
        <x:f>IF('Setup'!$B$22&gt;0,"",SUM('Capacity'!T57:T59)*C45)</x:f>
        <x:v>0</x:v>
      </x:c>
      <x:c r="W45" s="1" t="n">
        <x:f>IF('Setup'!$B$22&gt;0,"",SUM('Capacity'!W57:W59)*C45)</x:f>
        <x:v>0</x:v>
      </x:c>
    </x:row>
    <x:row r="46" ht="23" customHeight="1">
      <x:c r="A46" s="20" t="n">
        <x:f>IF('Setup'!$B$22&gt;0,"",'Demand'!A46)</x:f>
        <x:v>46340</x:v>
      </x:c>
      <x:c r="B46" s="1" t="n">
        <x:f>IF('Setup'!$B$22&gt;0,"",'Demand'!B46)</x:f>
        <x:v>6</x:v>
      </x:c>
      <x:c r="C46" s="1" t="n">
        <x:f>IF('Setup'!$B$22&gt;0,"",'Demand'!C46)</x:f>
        <x:v>0</x:v>
      </x:c>
      <x:c r="D46" s="24" t="n">
        <x:f>IF('Setup'!$B$22&gt;0,"",ROUND('Demand'!D46*'Setup'!B18,0))</x:f>
        <x:v>0</x:v>
      </x:c>
      <x:c r="E46" s="24" t="n">
        <x:f>IF('Setup'!$B$22&gt;0,"",L45)</x:f>
        <x:v>90085</x:v>
      </x:c>
      <x:c r="F46" s="24" t="n">
        <x:f>IF('Setup'!$B$22&gt;0,"",D46+E46)</x:f>
        <x:v>90085</x:v>
      </x:c>
      <x:c r="G46" s="24" t="n">
        <x:f>IF('Setup'!$B$22&gt;0,"",'Capacity'!N57*C46)</x:f>
        <x:v>0</x:v>
      </x:c>
      <x:c r="H46" s="24" t="n">
        <x:f>IF('Setup'!$B$22&gt;0,"",'Capacity'!N58*C46)</x:f>
        <x:v>0</x:v>
      </x:c>
      <x:c r="I46" s="24" t="n">
        <x:f>IF('Setup'!$B$22&gt;0,"",'Capacity'!N59*C46)</x:f>
        <x:v>0</x:v>
      </x:c>
      <x:c r="J46" s="24" t="n">
        <x:f>IF('Setup'!$B$22&gt;0,"",MIN(G46:I46))</x:f>
        <x:v>0</x:v>
      </x:c>
      <x:c r="K46" s="24" t="n">
        <x:f>IF('Setup'!$B$22&gt;0,"",MIN(F46,J46))</x:f>
        <x:v>0</x:v>
      </x:c>
      <x:c r="L46" s="24" t="n">
        <x:f>IF('Setup'!$B$22&gt;0,"",MAX(0,F46-K46))</x:f>
        <x:v>90085</x:v>
      </x:c>
      <x:c r="M46" s="23" t="n">
        <x:f>IF('Setup'!$B$22&gt;0,"",IF(J46=0,0,K46/J46))</x:f>
        <x:v>0</x:v>
      </x:c>
      <x:c r="N46" s="25" t="n">
        <x:f>IF('Setup'!$B$22&gt;0,"",SUM('Capacity'!Z57:Z59)*C46)</x:f>
        <x:v>0</x:v>
      </x:c>
      <x:c r="O46" s="25" t="n">
        <x:f>IF('Setup'!$B$22&gt;0,"",SUM('Capacity'!Q57:Q59)*C46)</x:f>
        <x:v>0</x:v>
      </x:c>
      <x:c r="P46" s="1" t="str">
        <x:f>IF('Setup'!$B$22&gt;0,"",IF(C46=0,"Closed",INDEX('Processes'!$A$6:$A$8,MATCH(J46,G46:I46,0))))</x:f>
        <x:v>Closed</x:v>
      </x:c>
      <x:c r="Q46" s="1" t="n">
        <x:f>IF('Setup'!$B$22&gt;0,"",IF(C46=0,0,MAX(0,ROUNDUP(F46/'Capacity'!X57-'Capacity'!Y57,0)-'Capacity'!G57)))</x:f>
        <x:v>0</x:v>
      </x:c>
      <x:c r="R46" s="1" t="n">
        <x:f>IF('Setup'!$B$22&gt;0,"",IF(C46=0,0,MAX(0,ROUNDUP(F46/'Capacity'!X58-'Capacity'!Y58,0)-'Capacity'!G58)))</x:f>
        <x:v>0</x:v>
      </x:c>
      <x:c r="S46" s="1" t="n">
        <x:f>IF('Setup'!$B$22&gt;0,"",IF(C46=0,0,MAX(0,ROUNDUP(F46/'Capacity'!X59-'Capacity'!Y59,0)-'Capacity'!G59)))</x:f>
        <x:v>0</x:v>
      </x:c>
      <x:c r="T46" s="1" t="str">
        <x:f>IF('Setup'!$B$22&gt;0,"",IF(C46=0,IF(L46&gt;'Setup'!$B$7,"Backlog on closed day","Closed"),IF(OR(V46&gt;0,W46&gt;0),"Resolve staffing limits",IF(U46&gt;0,"Resolve physical limit",IF(L46&gt;'Setup'!$B$7,"Close labor capacity gap",IF(L46&gt;0,"Backlog below threshold","Within daily capacity"))))))</x:f>
        <x:v>Backlog on closed day</x:v>
      </x:c>
      <x:c r="U46" s="1" t="n">
        <x:f>IF('Setup'!$B$22&gt;0,"",IF(C46=0,0,MAX(0,F46-INT(MIN('Capacity'!M57:M59)))))</x:f>
        <x:v>0</x:v>
      </x:c>
      <x:c r="V46" s="1" t="n">
        <x:f>IF('Setup'!$B$22&gt;0,"",SUM('Capacity'!T57:T59)*C46)</x:f>
        <x:v>0</x:v>
      </x:c>
      <x:c r="W46" s="1" t="n">
        <x:f>IF('Setup'!$B$22&gt;0,"",SUM('Capacity'!W57:W59)*C46)</x:f>
        <x:v>0</x:v>
      </x:c>
    </x:row>
    <x:row r="47" ht="23" customHeight="1">
      <x:c r="A47" s="20" t="n">
        <x:f>IF('Setup'!$B$22&gt;0,"",'Demand'!A47)</x:f>
        <x:v>46341</x:v>
      </x:c>
      <x:c r="B47" s="1" t="n">
        <x:f>IF('Setup'!$B$22&gt;0,"",'Demand'!B47)</x:f>
        <x:v>6</x:v>
      </x:c>
      <x:c r="C47" s="1" t="n">
        <x:f>IF('Setup'!$B$22&gt;0,"",'Demand'!C47)</x:f>
        <x:v>0</x:v>
      </x:c>
      <x:c r="D47" s="24" t="n">
        <x:f>IF('Setup'!$B$22&gt;0,"",ROUND('Demand'!D47*'Setup'!B18,0))</x:f>
        <x:v>0</x:v>
      </x:c>
      <x:c r="E47" s="24" t="n">
        <x:f>IF('Setup'!$B$22&gt;0,"",L46)</x:f>
        <x:v>90085</x:v>
      </x:c>
      <x:c r="F47" s="24" t="n">
        <x:f>IF('Setup'!$B$22&gt;0,"",D47+E47)</x:f>
        <x:v>90085</x:v>
      </x:c>
      <x:c r="G47" s="24" t="n">
        <x:f>IF('Setup'!$B$22&gt;0,"",'Capacity'!N57*C47)</x:f>
        <x:v>0</x:v>
      </x:c>
      <x:c r="H47" s="24" t="n">
        <x:f>IF('Setup'!$B$22&gt;0,"",'Capacity'!N58*C47)</x:f>
        <x:v>0</x:v>
      </x:c>
      <x:c r="I47" s="24" t="n">
        <x:f>IF('Setup'!$B$22&gt;0,"",'Capacity'!N59*C47)</x:f>
        <x:v>0</x:v>
      </x:c>
      <x:c r="J47" s="24" t="n">
        <x:f>IF('Setup'!$B$22&gt;0,"",MIN(G47:I47))</x:f>
        <x:v>0</x:v>
      </x:c>
      <x:c r="K47" s="24" t="n">
        <x:f>IF('Setup'!$B$22&gt;0,"",MIN(F47,J47))</x:f>
        <x:v>0</x:v>
      </x:c>
      <x:c r="L47" s="24" t="n">
        <x:f>IF('Setup'!$B$22&gt;0,"",MAX(0,F47-K47))</x:f>
        <x:v>90085</x:v>
      </x:c>
      <x:c r="M47" s="23" t="n">
        <x:f>IF('Setup'!$B$22&gt;0,"",IF(J47=0,0,K47/J47))</x:f>
        <x:v>0</x:v>
      </x:c>
      <x:c r="N47" s="25" t="n">
        <x:f>IF('Setup'!$B$22&gt;0,"",SUM('Capacity'!Z57:Z59)*C47)</x:f>
        <x:v>0</x:v>
      </x:c>
      <x:c r="O47" s="25" t="n">
        <x:f>IF('Setup'!$B$22&gt;0,"",SUM('Capacity'!Q57:Q59)*C47)</x:f>
        <x:v>0</x:v>
      </x:c>
      <x:c r="P47" s="1" t="str">
        <x:f>IF('Setup'!$B$22&gt;0,"",IF(C47=0,"Closed",INDEX('Processes'!$A$6:$A$8,MATCH(J47,G47:I47,0))))</x:f>
        <x:v>Closed</x:v>
      </x:c>
      <x:c r="Q47" s="1" t="n">
        <x:f>IF('Setup'!$B$22&gt;0,"",IF(C47=0,0,MAX(0,ROUNDUP(F47/'Capacity'!X57-'Capacity'!Y57,0)-'Capacity'!G57)))</x:f>
        <x:v>0</x:v>
      </x:c>
      <x:c r="R47" s="1" t="n">
        <x:f>IF('Setup'!$B$22&gt;0,"",IF(C47=0,0,MAX(0,ROUNDUP(F47/'Capacity'!X58-'Capacity'!Y58,0)-'Capacity'!G58)))</x:f>
        <x:v>0</x:v>
      </x:c>
      <x:c r="S47" s="1" t="n">
        <x:f>IF('Setup'!$B$22&gt;0,"",IF(C47=0,0,MAX(0,ROUNDUP(F47/'Capacity'!X59-'Capacity'!Y59,0)-'Capacity'!G59)))</x:f>
        <x:v>0</x:v>
      </x:c>
      <x:c r="T47" s="1" t="str">
        <x:f>IF('Setup'!$B$22&gt;0,"",IF(C47=0,IF(L47&gt;'Setup'!$B$7,"Backlog on closed day","Closed"),IF(OR(V47&gt;0,W47&gt;0),"Resolve staffing limits",IF(U47&gt;0,"Resolve physical limit",IF(L47&gt;'Setup'!$B$7,"Close labor capacity gap",IF(L47&gt;0,"Backlog below threshold","Within daily capacity"))))))</x:f>
        <x:v>Backlog on closed day</x:v>
      </x:c>
      <x:c r="U47" s="1" t="n">
        <x:f>IF('Setup'!$B$22&gt;0,"",IF(C47=0,0,MAX(0,F47-INT(MIN('Capacity'!M57:M59)))))</x:f>
        <x:v>0</x:v>
      </x:c>
      <x:c r="V47" s="1" t="n">
        <x:f>IF('Setup'!$B$22&gt;0,"",SUM('Capacity'!T57:T59)*C47)</x:f>
        <x:v>0</x:v>
      </x:c>
      <x:c r="W47" s="1" t="n">
        <x:f>IF('Setup'!$B$22&gt;0,"",SUM('Capacity'!W57:W59)*C47)</x:f>
        <x:v>0</x:v>
      </x:c>
    </x:row>
    <x:row r="48" ht="23" customHeight="1">
      <x:c r="A48" s="20" t="n">
        <x:f>IF('Setup'!$B$22&gt;0,"",'Demand'!A48)</x:f>
        <x:v>46342</x:v>
      </x:c>
      <x:c r="B48" s="1" t="n">
        <x:f>IF('Setup'!$B$22&gt;0,"",'Demand'!B48)</x:f>
        <x:v>7</x:v>
      </x:c>
      <x:c r="C48" s="1" t="n">
        <x:f>IF('Setup'!$B$22&gt;0,"",'Demand'!C48)</x:f>
        <x:v>1</x:v>
      </x:c>
      <x:c r="D48" s="24" t="n">
        <x:f>IF('Setup'!$B$22&gt;0,"",ROUND('Demand'!D48*'Setup'!B18,0))</x:f>
        <x:v>15000</x:v>
      </x:c>
      <x:c r="E48" s="24" t="n">
        <x:f>IF('Setup'!$B$22&gt;0,"",L47)</x:f>
        <x:v>90085</x:v>
      </x:c>
      <x:c r="F48" s="24" t="n">
        <x:f>IF('Setup'!$B$22&gt;0,"",D48+E48)</x:f>
        <x:v>105085</x:v>
      </x:c>
      <x:c r="G48" s="24" t="n">
        <x:f>IF('Setup'!$B$22&gt;0,"",'Capacity'!N60*C48)</x:f>
        <x:v>9531</x:v>
      </x:c>
      <x:c r="H48" s="24" t="n">
        <x:f>IF('Setup'!$B$22&gt;0,"",'Capacity'!N61*C48)</x:f>
        <x:v>8986</x:v>
      </x:c>
      <x:c r="I48" s="24" t="n">
        <x:f>IF('Setup'!$B$22&gt;0,"",'Capacity'!N62*C48)</x:f>
        <x:v>8000</x:v>
      </x:c>
      <x:c r="J48" s="24" t="n">
        <x:f>IF('Setup'!$B$22&gt;0,"",MIN(G48:I48))</x:f>
        <x:v>8000</x:v>
      </x:c>
      <x:c r="K48" s="24" t="n">
        <x:f>IF('Setup'!$B$22&gt;0,"",MIN(F48,J48))</x:f>
        <x:v>8000</x:v>
      </x:c>
      <x:c r="L48" s="24" t="n">
        <x:f>IF('Setup'!$B$22&gt;0,"",MAX(0,F48-K48))</x:f>
        <x:v>97085</x:v>
      </x:c>
      <x:c r="M48" s="23" t="n">
        <x:f>IF('Setup'!$B$22&gt;0,"",IF(J48=0,0,K48/J48))</x:f>
        <x:v>1</x:v>
      </x:c>
      <x:c r="N48" s="25" t="n">
        <x:f>IF('Setup'!$B$22&gt;0,"",SUM('Capacity'!Z60:Z62)*C48)</x:f>
        <x:v>13442.12</x:v>
      </x:c>
      <x:c r="O48" s="25" t="n">
        <x:f>IF('Setup'!$B$22&gt;0,"",SUM('Capacity'!Q60:Q62)*C48)</x:f>
        <x:v>4109.639999999999</x:v>
      </x:c>
      <x:c r="P48" s="1" t="str">
        <x:f>IF('Setup'!$B$22&gt;0,"",IF(C48=0,"Closed",INDEX('Processes'!$A$6:$A$8,MATCH(J48,G48:I48,0))))</x:f>
        <x:v>Ship</x:v>
      </x:c>
      <x:c r="Q48" s="1" t="n">
        <x:f>IF('Setup'!$B$22&gt;0,"",IF(C48=0,0,MAX(0,ROUNDUP(F48/'Capacity'!X60-'Capacity'!Y60,0)-'Capacity'!G60)))</x:f>
        <x:v>281</x:v>
      </x:c>
      <x:c r="R48" s="1" t="n">
        <x:f>IF('Setup'!$B$22&gt;0,"",IF(C48=0,0,MAX(0,ROUNDUP(F48/'Capacity'!X61-'Capacity'!Y61,0)-'Capacity'!G61)))</x:f>
        <x:v>236</x:v>
      </x:c>
      <x:c r="S48" s="1" t="n">
        <x:f>IF('Setup'!$B$22&gt;0,"",IF(C48=0,0,MAX(0,ROUNDUP(F48/'Capacity'!X62-'Capacity'!Y62,0)-'Capacity'!G62)))</x:f>
        <x:v>142</x:v>
      </x:c>
      <x:c r="T48" s="1" t="str">
        <x:f>IF('Setup'!$B$22&gt;0,"",IF(C48=0,IF(L48&gt;'Setup'!$B$7,"Backlog on closed day","Closed"),IF(OR(V48&gt;0,W48&gt;0),"Resolve staffing limits",IF(U48&gt;0,"Resolve physical limit",IF(L48&gt;'Setup'!$B$7,"Close labor capacity gap",IF(L48&gt;0,"Backlog below threshold","Within daily capacity"))))))</x:f>
        <x:v>Resolve physical limit</x:v>
      </x:c>
      <x:c r="U48" s="1" t="n">
        <x:f>IF('Setup'!$B$22&gt;0,"",IF(C48=0,0,MAX(0,F48-INT(MIN('Capacity'!M60:M62)))))</x:f>
        <x:v>97085</x:v>
      </x:c>
      <x:c r="V48" s="1" t="n">
        <x:f>IF('Setup'!$B$22&gt;0,"",SUM('Capacity'!T60:T62)*C48)</x:f>
        <x:v>0</x:v>
      </x:c>
      <x:c r="W48" s="1" t="n">
        <x:f>IF('Setup'!$B$22&gt;0,"",SUM('Capacity'!W60:W62)*C48)</x:f>
        <x:v>0</x:v>
      </x:c>
    </x:row>
    <x:row r="49" ht="23" customHeight="1">
      <x:c r="A49" s="20" t="n">
        <x:f>IF('Setup'!$B$22&gt;0,"",'Demand'!A49)</x:f>
        <x:v>46343</x:v>
      </x:c>
      <x:c r="B49" s="1" t="n">
        <x:f>IF('Setup'!$B$22&gt;0,"",'Demand'!B49)</x:f>
        <x:v>7</x:v>
      </x:c>
      <x:c r="C49" s="1" t="n">
        <x:f>IF('Setup'!$B$22&gt;0,"",'Demand'!C49)</x:f>
        <x:v>1</x:v>
      </x:c>
      <x:c r="D49" s="24" t="n">
        <x:f>IF('Setup'!$B$22&gt;0,"",ROUND('Demand'!D49*'Setup'!B18,0))</x:f>
        <x:v>15000</x:v>
      </x:c>
      <x:c r="E49" s="24" t="n">
        <x:f>IF('Setup'!$B$22&gt;0,"",L48)</x:f>
        <x:v>97085</x:v>
      </x:c>
      <x:c r="F49" s="24" t="n">
        <x:f>IF('Setup'!$B$22&gt;0,"",D49+E49)</x:f>
        <x:v>112085</x:v>
      </x:c>
      <x:c r="G49" s="24" t="n">
        <x:f>IF('Setup'!$B$22&gt;0,"",'Capacity'!N60*C49)</x:f>
        <x:v>9531</x:v>
      </x:c>
      <x:c r="H49" s="24" t="n">
        <x:f>IF('Setup'!$B$22&gt;0,"",'Capacity'!N61*C49)</x:f>
        <x:v>8986</x:v>
      </x:c>
      <x:c r="I49" s="24" t="n">
        <x:f>IF('Setup'!$B$22&gt;0,"",'Capacity'!N62*C49)</x:f>
        <x:v>8000</x:v>
      </x:c>
      <x:c r="J49" s="24" t="n">
        <x:f>IF('Setup'!$B$22&gt;0,"",MIN(G49:I49))</x:f>
        <x:v>8000</x:v>
      </x:c>
      <x:c r="K49" s="24" t="n">
        <x:f>IF('Setup'!$B$22&gt;0,"",MIN(F49,J49))</x:f>
        <x:v>8000</x:v>
      </x:c>
      <x:c r="L49" s="24" t="n">
        <x:f>IF('Setup'!$B$22&gt;0,"",MAX(0,F49-K49))</x:f>
        <x:v>104085</x:v>
      </x:c>
      <x:c r="M49" s="23" t="n">
        <x:f>IF('Setup'!$B$22&gt;0,"",IF(J49=0,0,K49/J49))</x:f>
        <x:v>1</x:v>
      </x:c>
      <x:c r="N49" s="25" t="n">
        <x:f>IF('Setup'!$B$22&gt;0,"",SUM('Capacity'!Z60:Z62)*C49)</x:f>
        <x:v>13442.12</x:v>
      </x:c>
      <x:c r="O49" s="25" t="n">
        <x:f>IF('Setup'!$B$22&gt;0,"",SUM('Capacity'!Q60:Q62)*C49)</x:f>
        <x:v>4109.639999999999</x:v>
      </x:c>
      <x:c r="P49" s="1" t="str">
        <x:f>IF('Setup'!$B$22&gt;0,"",IF(C49=0,"Closed",INDEX('Processes'!$A$6:$A$8,MATCH(J49,G49:I49,0))))</x:f>
        <x:v>Ship</x:v>
      </x:c>
      <x:c r="Q49" s="1" t="n">
        <x:f>IF('Setup'!$B$22&gt;0,"",IF(C49=0,0,MAX(0,ROUNDUP(F49/'Capacity'!X60-'Capacity'!Y60,0)-'Capacity'!G60)))</x:f>
        <x:v>302</x:v>
      </x:c>
      <x:c r="R49" s="1" t="n">
        <x:f>IF('Setup'!$B$22&gt;0,"",IF(C49=0,0,MAX(0,ROUNDUP(F49/'Capacity'!X61-'Capacity'!Y61,0)-'Capacity'!G61)))</x:f>
        <x:v>253</x:v>
      </x:c>
      <x:c r="S49" s="1" t="n">
        <x:f>IF('Setup'!$B$22&gt;0,"",IF(C49=0,0,MAX(0,ROUNDUP(F49/'Capacity'!X62-'Capacity'!Y62,0)-'Capacity'!G62)))</x:f>
        <x:v>152</x:v>
      </x:c>
      <x:c r="T49" s="1" t="str">
        <x:f>IF('Setup'!$B$22&gt;0,"",IF(C49=0,IF(L49&gt;'Setup'!$B$7,"Backlog on closed day","Closed"),IF(OR(V49&gt;0,W49&gt;0),"Resolve staffing limits",IF(U49&gt;0,"Resolve physical limit",IF(L49&gt;'Setup'!$B$7,"Close labor capacity gap",IF(L49&gt;0,"Backlog below threshold","Within daily capacity"))))))</x:f>
        <x:v>Resolve physical limit</x:v>
      </x:c>
      <x:c r="U49" s="1" t="n">
        <x:f>IF('Setup'!$B$22&gt;0,"",IF(C49=0,0,MAX(0,F49-INT(MIN('Capacity'!M60:M62)))))</x:f>
        <x:v>104085</x:v>
      </x:c>
      <x:c r="V49" s="1" t="n">
        <x:f>IF('Setup'!$B$22&gt;0,"",SUM('Capacity'!T60:T62)*C49)</x:f>
        <x:v>0</x:v>
      </x:c>
      <x:c r="W49" s="1" t="n">
        <x:f>IF('Setup'!$B$22&gt;0,"",SUM('Capacity'!W60:W62)*C49)</x:f>
        <x:v>0</x:v>
      </x:c>
    </x:row>
    <x:row r="50" ht="23" customHeight="1">
      <x:c r="A50" s="20" t="n">
        <x:f>IF('Setup'!$B$22&gt;0,"",'Demand'!A50)</x:f>
        <x:v>46344</x:v>
      </x:c>
      <x:c r="B50" s="1" t="n">
        <x:f>IF('Setup'!$B$22&gt;0,"",'Demand'!B50)</x:f>
        <x:v>7</x:v>
      </x:c>
      <x:c r="C50" s="1" t="n">
        <x:f>IF('Setup'!$B$22&gt;0,"",'Demand'!C50)</x:f>
        <x:v>1</x:v>
      </x:c>
      <x:c r="D50" s="24" t="n">
        <x:f>IF('Setup'!$B$22&gt;0,"",ROUND('Demand'!D50*'Setup'!B18,0))</x:f>
        <x:v>15000</x:v>
      </x:c>
      <x:c r="E50" s="24" t="n">
        <x:f>IF('Setup'!$B$22&gt;0,"",L49)</x:f>
        <x:v>104085</x:v>
      </x:c>
      <x:c r="F50" s="24" t="n">
        <x:f>IF('Setup'!$B$22&gt;0,"",D50+E50)</x:f>
        <x:v>119085</x:v>
      </x:c>
      <x:c r="G50" s="24" t="n">
        <x:f>IF('Setup'!$B$22&gt;0,"",'Capacity'!N60*C50)</x:f>
        <x:v>9531</x:v>
      </x:c>
      <x:c r="H50" s="24" t="n">
        <x:f>IF('Setup'!$B$22&gt;0,"",'Capacity'!N61*C50)</x:f>
        <x:v>8986</x:v>
      </x:c>
      <x:c r="I50" s="24" t="n">
        <x:f>IF('Setup'!$B$22&gt;0,"",'Capacity'!N62*C50)</x:f>
        <x:v>8000</x:v>
      </x:c>
      <x:c r="J50" s="24" t="n">
        <x:f>IF('Setup'!$B$22&gt;0,"",MIN(G50:I50))</x:f>
        <x:v>8000</x:v>
      </x:c>
      <x:c r="K50" s="24" t="n">
        <x:f>IF('Setup'!$B$22&gt;0,"",MIN(F50,J50))</x:f>
        <x:v>8000</x:v>
      </x:c>
      <x:c r="L50" s="24" t="n">
        <x:f>IF('Setup'!$B$22&gt;0,"",MAX(0,F50-K50))</x:f>
        <x:v>111085</x:v>
      </x:c>
      <x:c r="M50" s="23" t="n">
        <x:f>IF('Setup'!$B$22&gt;0,"",IF(J50=0,0,K50/J50))</x:f>
        <x:v>1</x:v>
      </x:c>
      <x:c r="N50" s="25" t="n">
        <x:f>IF('Setup'!$B$22&gt;0,"",SUM('Capacity'!Z60:Z62)*C50)</x:f>
        <x:v>13442.12</x:v>
      </x:c>
      <x:c r="O50" s="25" t="n">
        <x:f>IF('Setup'!$B$22&gt;0,"",SUM('Capacity'!Q60:Q62)*C50)</x:f>
        <x:v>4109.639999999999</x:v>
      </x:c>
      <x:c r="P50" s="1" t="str">
        <x:f>IF('Setup'!$B$22&gt;0,"",IF(C50=0,"Closed",INDEX('Processes'!$A$6:$A$8,MATCH(J50,G50:I50,0))))</x:f>
        <x:v>Ship</x:v>
      </x:c>
      <x:c r="Q50" s="1" t="n">
        <x:f>IF('Setup'!$B$22&gt;0,"",IF(C50=0,0,MAX(0,ROUNDUP(F50/'Capacity'!X60-'Capacity'!Y60,0)-'Capacity'!G60)))</x:f>
        <x:v>322</x:v>
      </x:c>
      <x:c r="R50" s="1" t="n">
        <x:f>IF('Setup'!$B$22&gt;0,"",IF(C50=0,0,MAX(0,ROUNDUP(F50/'Capacity'!X61-'Capacity'!Y61,0)-'Capacity'!G61)))</x:f>
        <x:v>270</x:v>
      </x:c>
      <x:c r="S50" s="1" t="n">
        <x:f>IF('Setup'!$B$22&gt;0,"",IF(C50=0,0,MAX(0,ROUNDUP(F50/'Capacity'!X62-'Capacity'!Y62,0)-'Capacity'!G62)))</x:f>
        <x:v>162</x:v>
      </x:c>
      <x:c r="T50" s="1" t="str">
        <x:f>IF('Setup'!$B$22&gt;0,"",IF(C50=0,IF(L50&gt;'Setup'!$B$7,"Backlog on closed day","Closed"),IF(OR(V50&gt;0,W50&gt;0),"Resolve staffing limits",IF(U50&gt;0,"Resolve physical limit",IF(L50&gt;'Setup'!$B$7,"Close labor capacity gap",IF(L50&gt;0,"Backlog below threshold","Within daily capacity"))))))</x:f>
        <x:v>Resolve physical limit</x:v>
      </x:c>
      <x:c r="U50" s="1" t="n">
        <x:f>IF('Setup'!$B$22&gt;0,"",IF(C50=0,0,MAX(0,F50-INT(MIN('Capacity'!M60:M62)))))</x:f>
        <x:v>111085</x:v>
      </x:c>
      <x:c r="V50" s="1" t="n">
        <x:f>IF('Setup'!$B$22&gt;0,"",SUM('Capacity'!T60:T62)*C50)</x:f>
        <x:v>0</x:v>
      </x:c>
      <x:c r="W50" s="1" t="n">
        <x:f>IF('Setup'!$B$22&gt;0,"",SUM('Capacity'!W60:W62)*C50)</x:f>
        <x:v>0</x:v>
      </x:c>
    </x:row>
    <x:row r="51" ht="23" customHeight="1">
      <x:c r="A51" s="20" t="n">
        <x:f>IF('Setup'!$B$22&gt;0,"",'Demand'!A51)</x:f>
        <x:v>46345</x:v>
      </x:c>
      <x:c r="B51" s="1" t="n">
        <x:f>IF('Setup'!$B$22&gt;0,"",'Demand'!B51)</x:f>
        <x:v>7</x:v>
      </x:c>
      <x:c r="C51" s="1" t="n">
        <x:f>IF('Setup'!$B$22&gt;0,"",'Demand'!C51)</x:f>
        <x:v>1</x:v>
      </x:c>
      <x:c r="D51" s="24" t="n">
        <x:f>IF('Setup'!$B$22&gt;0,"",ROUND('Demand'!D51*'Setup'!B18,0))</x:f>
        <x:v>15000</x:v>
      </x:c>
      <x:c r="E51" s="24" t="n">
        <x:f>IF('Setup'!$B$22&gt;0,"",L50)</x:f>
        <x:v>111085</x:v>
      </x:c>
      <x:c r="F51" s="24" t="n">
        <x:f>IF('Setup'!$B$22&gt;0,"",D51+E51)</x:f>
        <x:v>126085</x:v>
      </x:c>
      <x:c r="G51" s="24" t="n">
        <x:f>IF('Setup'!$B$22&gt;0,"",'Capacity'!N60*C51)</x:f>
        <x:v>9531</x:v>
      </x:c>
      <x:c r="H51" s="24" t="n">
        <x:f>IF('Setup'!$B$22&gt;0,"",'Capacity'!N61*C51)</x:f>
        <x:v>8986</x:v>
      </x:c>
      <x:c r="I51" s="24" t="n">
        <x:f>IF('Setup'!$B$22&gt;0,"",'Capacity'!N62*C51)</x:f>
        <x:v>8000</x:v>
      </x:c>
      <x:c r="J51" s="24" t="n">
        <x:f>IF('Setup'!$B$22&gt;0,"",MIN(G51:I51))</x:f>
        <x:v>8000</x:v>
      </x:c>
      <x:c r="K51" s="24" t="n">
        <x:f>IF('Setup'!$B$22&gt;0,"",MIN(F51,J51))</x:f>
        <x:v>8000</x:v>
      </x:c>
      <x:c r="L51" s="24" t="n">
        <x:f>IF('Setup'!$B$22&gt;0,"",MAX(0,F51-K51))</x:f>
        <x:v>118085</x:v>
      </x:c>
      <x:c r="M51" s="23" t="n">
        <x:f>IF('Setup'!$B$22&gt;0,"",IF(J51=0,0,K51/J51))</x:f>
        <x:v>1</x:v>
      </x:c>
      <x:c r="N51" s="25" t="n">
        <x:f>IF('Setup'!$B$22&gt;0,"",SUM('Capacity'!Z60:Z62)*C51)</x:f>
        <x:v>13442.12</x:v>
      </x:c>
      <x:c r="O51" s="25" t="n">
        <x:f>IF('Setup'!$B$22&gt;0,"",SUM('Capacity'!Q60:Q62)*C51)</x:f>
        <x:v>4109.639999999999</x:v>
      </x:c>
      <x:c r="P51" s="1" t="str">
        <x:f>IF('Setup'!$B$22&gt;0,"",IF(C51=0,"Closed",INDEX('Processes'!$A$6:$A$8,MATCH(J51,G51:I51,0))))</x:f>
        <x:v>Ship</x:v>
      </x:c>
      <x:c r="Q51" s="1" t="n">
        <x:f>IF('Setup'!$B$22&gt;0,"",IF(C51=0,0,MAX(0,ROUNDUP(F51/'Capacity'!X60-'Capacity'!Y60,0)-'Capacity'!G60)))</x:f>
        <x:v>343</x:v>
      </x:c>
      <x:c r="R51" s="1" t="n">
        <x:f>IF('Setup'!$B$22&gt;0,"",IF(C51=0,0,MAX(0,ROUNDUP(F51/'Capacity'!X61-'Capacity'!Y61,0)-'Capacity'!G61)))</x:f>
        <x:v>287</x:v>
      </x:c>
      <x:c r="S51" s="1" t="n">
        <x:f>IF('Setup'!$B$22&gt;0,"",IF(C51=0,0,MAX(0,ROUNDUP(F51/'Capacity'!X62-'Capacity'!Y62,0)-'Capacity'!G62)))</x:f>
        <x:v>173</x:v>
      </x:c>
      <x:c r="T51" s="1" t="str">
        <x:f>IF('Setup'!$B$22&gt;0,"",IF(C51=0,IF(L51&gt;'Setup'!$B$7,"Backlog on closed day","Closed"),IF(OR(V51&gt;0,W51&gt;0),"Resolve staffing limits",IF(U51&gt;0,"Resolve physical limit",IF(L51&gt;'Setup'!$B$7,"Close labor capacity gap",IF(L51&gt;0,"Backlog below threshold","Within daily capacity"))))))</x:f>
        <x:v>Resolve physical limit</x:v>
      </x:c>
      <x:c r="U51" s="1" t="n">
        <x:f>IF('Setup'!$B$22&gt;0,"",IF(C51=0,0,MAX(0,F51-INT(MIN('Capacity'!M60:M62)))))</x:f>
        <x:v>118085</x:v>
      </x:c>
      <x:c r="V51" s="1" t="n">
        <x:f>IF('Setup'!$B$22&gt;0,"",SUM('Capacity'!T60:T62)*C51)</x:f>
        <x:v>0</x:v>
      </x:c>
      <x:c r="W51" s="1" t="n">
        <x:f>IF('Setup'!$B$22&gt;0,"",SUM('Capacity'!W60:W62)*C51)</x:f>
        <x:v>0</x:v>
      </x:c>
    </x:row>
    <x:row r="52" ht="23" customHeight="1">
      <x:c r="A52" s="20" t="n">
        <x:f>IF('Setup'!$B$22&gt;0,"",'Demand'!A52)</x:f>
        <x:v>46346</x:v>
      </x:c>
      <x:c r="B52" s="1" t="n">
        <x:f>IF('Setup'!$B$22&gt;0,"",'Demand'!B52)</x:f>
        <x:v>7</x:v>
      </x:c>
      <x:c r="C52" s="1" t="n">
        <x:f>IF('Setup'!$B$22&gt;0,"",'Demand'!C52)</x:f>
        <x:v>1</x:v>
      </x:c>
      <x:c r="D52" s="24" t="n">
        <x:f>IF('Setup'!$B$22&gt;0,"",ROUND('Demand'!D52*'Setup'!B18,0))</x:f>
        <x:v>15000</x:v>
      </x:c>
      <x:c r="E52" s="24" t="n">
        <x:f>IF('Setup'!$B$22&gt;0,"",L51)</x:f>
        <x:v>118085</x:v>
      </x:c>
      <x:c r="F52" s="24" t="n">
        <x:f>IF('Setup'!$B$22&gt;0,"",D52+E52)</x:f>
        <x:v>133085</x:v>
      </x:c>
      <x:c r="G52" s="24" t="n">
        <x:f>IF('Setup'!$B$22&gt;0,"",'Capacity'!N60*C52)</x:f>
        <x:v>9531</x:v>
      </x:c>
      <x:c r="H52" s="24" t="n">
        <x:f>IF('Setup'!$B$22&gt;0,"",'Capacity'!N61*C52)</x:f>
        <x:v>8986</x:v>
      </x:c>
      <x:c r="I52" s="24" t="n">
        <x:f>IF('Setup'!$B$22&gt;0,"",'Capacity'!N62*C52)</x:f>
        <x:v>8000</x:v>
      </x:c>
      <x:c r="J52" s="24" t="n">
        <x:f>IF('Setup'!$B$22&gt;0,"",MIN(G52:I52))</x:f>
        <x:v>8000</x:v>
      </x:c>
      <x:c r="K52" s="24" t="n">
        <x:f>IF('Setup'!$B$22&gt;0,"",MIN(F52,J52))</x:f>
        <x:v>8000</x:v>
      </x:c>
      <x:c r="L52" s="24" t="n">
        <x:f>IF('Setup'!$B$22&gt;0,"",MAX(0,F52-K52))</x:f>
        <x:v>125085</x:v>
      </x:c>
      <x:c r="M52" s="23" t="n">
        <x:f>IF('Setup'!$B$22&gt;0,"",IF(J52=0,0,K52/J52))</x:f>
        <x:v>1</x:v>
      </x:c>
      <x:c r="N52" s="25" t="n">
        <x:f>IF('Setup'!$B$22&gt;0,"",SUM('Capacity'!Z60:Z62)*C52)</x:f>
        <x:v>13442.12</x:v>
      </x:c>
      <x:c r="O52" s="25" t="n">
        <x:f>IF('Setup'!$B$22&gt;0,"",SUM('Capacity'!Q60:Q62)*C52)</x:f>
        <x:v>4109.639999999999</x:v>
      </x:c>
      <x:c r="P52" s="1" t="str">
        <x:f>IF('Setup'!$B$22&gt;0,"",IF(C52=0,"Closed",INDEX('Processes'!$A$6:$A$8,MATCH(J52,G52:I52,0))))</x:f>
        <x:v>Ship</x:v>
      </x:c>
      <x:c r="Q52" s="1" t="n">
        <x:f>IF('Setup'!$B$22&gt;0,"",IF(C52=0,0,MAX(0,ROUNDUP(F52/'Capacity'!X60-'Capacity'!Y60,0)-'Capacity'!G60)))</x:f>
        <x:v>363</x:v>
      </x:c>
      <x:c r="R52" s="1" t="n">
        <x:f>IF('Setup'!$B$22&gt;0,"",IF(C52=0,0,MAX(0,ROUNDUP(F52/'Capacity'!X61-'Capacity'!Y61,0)-'Capacity'!G61)))</x:f>
        <x:v>304</x:v>
      </x:c>
      <x:c r="S52" s="1" t="n">
        <x:f>IF('Setup'!$B$22&gt;0,"",IF(C52=0,0,MAX(0,ROUNDUP(F52/'Capacity'!X62-'Capacity'!Y62,0)-'Capacity'!G62)))</x:f>
        <x:v>183</x:v>
      </x:c>
      <x:c r="T52" s="1" t="str">
        <x:f>IF('Setup'!$B$22&gt;0,"",IF(C52=0,IF(L52&gt;'Setup'!$B$7,"Backlog on closed day","Closed"),IF(OR(V52&gt;0,W52&gt;0),"Resolve staffing limits",IF(U52&gt;0,"Resolve physical limit",IF(L52&gt;'Setup'!$B$7,"Close labor capacity gap",IF(L52&gt;0,"Backlog below threshold","Within daily capacity"))))))</x:f>
        <x:v>Resolve physical limit</x:v>
      </x:c>
      <x:c r="U52" s="1" t="n">
        <x:f>IF('Setup'!$B$22&gt;0,"",IF(C52=0,0,MAX(0,F52-INT(MIN('Capacity'!M60:M62)))))</x:f>
        <x:v>125085</x:v>
      </x:c>
      <x:c r="V52" s="1" t="n">
        <x:f>IF('Setup'!$B$22&gt;0,"",SUM('Capacity'!T60:T62)*C52)</x:f>
        <x:v>0</x:v>
      </x:c>
      <x:c r="W52" s="1" t="n">
        <x:f>IF('Setup'!$B$22&gt;0,"",SUM('Capacity'!W60:W62)*C52)</x:f>
        <x:v>0</x:v>
      </x:c>
    </x:row>
    <x:row r="53" ht="23" customHeight="1">
      <x:c r="A53" s="20" t="n">
        <x:f>IF('Setup'!$B$22&gt;0,"",'Demand'!A53)</x:f>
        <x:v>46347</x:v>
      </x:c>
      <x:c r="B53" s="1" t="n">
        <x:f>IF('Setup'!$B$22&gt;0,"",'Demand'!B53)</x:f>
        <x:v>7</x:v>
      </x:c>
      <x:c r="C53" s="1" t="n">
        <x:f>IF('Setup'!$B$22&gt;0,"",'Demand'!C53)</x:f>
        <x:v>0</x:v>
      </x:c>
      <x:c r="D53" s="24" t="n">
        <x:f>IF('Setup'!$B$22&gt;0,"",ROUND('Demand'!D53*'Setup'!B18,0))</x:f>
        <x:v>0</x:v>
      </x:c>
      <x:c r="E53" s="24" t="n">
        <x:f>IF('Setup'!$B$22&gt;0,"",L52)</x:f>
        <x:v>125085</x:v>
      </x:c>
      <x:c r="F53" s="24" t="n">
        <x:f>IF('Setup'!$B$22&gt;0,"",D53+E53)</x:f>
        <x:v>125085</x:v>
      </x:c>
      <x:c r="G53" s="24" t="n">
        <x:f>IF('Setup'!$B$22&gt;0,"",'Capacity'!N60*C53)</x:f>
        <x:v>0</x:v>
      </x:c>
      <x:c r="H53" s="24" t="n">
        <x:f>IF('Setup'!$B$22&gt;0,"",'Capacity'!N61*C53)</x:f>
        <x:v>0</x:v>
      </x:c>
      <x:c r="I53" s="24" t="n">
        <x:f>IF('Setup'!$B$22&gt;0,"",'Capacity'!N62*C53)</x:f>
        <x:v>0</x:v>
      </x:c>
      <x:c r="J53" s="24" t="n">
        <x:f>IF('Setup'!$B$22&gt;0,"",MIN(G53:I53))</x:f>
        <x:v>0</x:v>
      </x:c>
      <x:c r="K53" s="24" t="n">
        <x:f>IF('Setup'!$B$22&gt;0,"",MIN(F53,J53))</x:f>
        <x:v>0</x:v>
      </x:c>
      <x:c r="L53" s="24" t="n">
        <x:f>IF('Setup'!$B$22&gt;0,"",MAX(0,F53-K53))</x:f>
        <x:v>125085</x:v>
      </x:c>
      <x:c r="M53" s="23" t="n">
        <x:f>IF('Setup'!$B$22&gt;0,"",IF(J53=0,0,K53/J53))</x:f>
        <x:v>0</x:v>
      </x:c>
      <x:c r="N53" s="25" t="n">
        <x:f>IF('Setup'!$B$22&gt;0,"",SUM('Capacity'!Z60:Z62)*C53)</x:f>
        <x:v>0</x:v>
      </x:c>
      <x:c r="O53" s="25" t="n">
        <x:f>IF('Setup'!$B$22&gt;0,"",SUM('Capacity'!Q60:Q62)*C53)</x:f>
        <x:v>0</x:v>
      </x:c>
      <x:c r="P53" s="1" t="str">
        <x:f>IF('Setup'!$B$22&gt;0,"",IF(C53=0,"Closed",INDEX('Processes'!$A$6:$A$8,MATCH(J53,G53:I53,0))))</x:f>
        <x:v>Closed</x:v>
      </x:c>
      <x:c r="Q53" s="1" t="n">
        <x:f>IF('Setup'!$B$22&gt;0,"",IF(C53=0,0,MAX(0,ROUNDUP(F53/'Capacity'!X60-'Capacity'!Y60,0)-'Capacity'!G60)))</x:f>
        <x:v>0</x:v>
      </x:c>
      <x:c r="R53" s="1" t="n">
        <x:f>IF('Setup'!$B$22&gt;0,"",IF(C53=0,0,MAX(0,ROUNDUP(F53/'Capacity'!X61-'Capacity'!Y61,0)-'Capacity'!G61)))</x:f>
        <x:v>0</x:v>
      </x:c>
      <x:c r="S53" s="1" t="n">
        <x:f>IF('Setup'!$B$22&gt;0,"",IF(C53=0,0,MAX(0,ROUNDUP(F53/'Capacity'!X62-'Capacity'!Y62,0)-'Capacity'!G62)))</x:f>
        <x:v>0</x:v>
      </x:c>
      <x:c r="T53" s="1" t="str">
        <x:f>IF('Setup'!$B$22&gt;0,"",IF(C53=0,IF(L53&gt;'Setup'!$B$7,"Backlog on closed day","Closed"),IF(OR(V53&gt;0,W53&gt;0),"Resolve staffing limits",IF(U53&gt;0,"Resolve physical limit",IF(L53&gt;'Setup'!$B$7,"Close labor capacity gap",IF(L53&gt;0,"Backlog below threshold","Within daily capacity"))))))</x:f>
        <x:v>Backlog on closed day</x:v>
      </x:c>
      <x:c r="U53" s="1" t="n">
        <x:f>IF('Setup'!$B$22&gt;0,"",IF(C53=0,0,MAX(0,F53-INT(MIN('Capacity'!M60:M62)))))</x:f>
        <x:v>0</x:v>
      </x:c>
      <x:c r="V53" s="1" t="n">
        <x:f>IF('Setup'!$B$22&gt;0,"",SUM('Capacity'!T60:T62)*C53)</x:f>
        <x:v>0</x:v>
      </x:c>
      <x:c r="W53" s="1" t="n">
        <x:f>IF('Setup'!$B$22&gt;0,"",SUM('Capacity'!W60:W62)*C53)</x:f>
        <x:v>0</x:v>
      </x:c>
    </x:row>
    <x:row r="54" ht="23" customHeight="1">
      <x:c r="A54" s="20" t="n">
        <x:f>IF('Setup'!$B$22&gt;0,"",'Demand'!A54)</x:f>
        <x:v>46348</x:v>
      </x:c>
      <x:c r="B54" s="1" t="n">
        <x:f>IF('Setup'!$B$22&gt;0,"",'Demand'!B54)</x:f>
        <x:v>7</x:v>
      </x:c>
      <x:c r="C54" s="1" t="n">
        <x:f>IF('Setup'!$B$22&gt;0,"",'Demand'!C54)</x:f>
        <x:v>0</x:v>
      </x:c>
      <x:c r="D54" s="24" t="n">
        <x:f>IF('Setup'!$B$22&gt;0,"",ROUND('Demand'!D54*'Setup'!B18,0))</x:f>
        <x:v>0</x:v>
      </x:c>
      <x:c r="E54" s="24" t="n">
        <x:f>IF('Setup'!$B$22&gt;0,"",L53)</x:f>
        <x:v>125085</x:v>
      </x:c>
      <x:c r="F54" s="24" t="n">
        <x:f>IF('Setup'!$B$22&gt;0,"",D54+E54)</x:f>
        <x:v>125085</x:v>
      </x:c>
      <x:c r="G54" s="24" t="n">
        <x:f>IF('Setup'!$B$22&gt;0,"",'Capacity'!N60*C54)</x:f>
        <x:v>0</x:v>
      </x:c>
      <x:c r="H54" s="24" t="n">
        <x:f>IF('Setup'!$B$22&gt;0,"",'Capacity'!N61*C54)</x:f>
        <x:v>0</x:v>
      </x:c>
      <x:c r="I54" s="24" t="n">
        <x:f>IF('Setup'!$B$22&gt;0,"",'Capacity'!N62*C54)</x:f>
        <x:v>0</x:v>
      </x:c>
      <x:c r="J54" s="24" t="n">
        <x:f>IF('Setup'!$B$22&gt;0,"",MIN(G54:I54))</x:f>
        <x:v>0</x:v>
      </x:c>
      <x:c r="K54" s="24" t="n">
        <x:f>IF('Setup'!$B$22&gt;0,"",MIN(F54,J54))</x:f>
        <x:v>0</x:v>
      </x:c>
      <x:c r="L54" s="24" t="n">
        <x:f>IF('Setup'!$B$22&gt;0,"",MAX(0,F54-K54))</x:f>
        <x:v>125085</x:v>
      </x:c>
      <x:c r="M54" s="23" t="n">
        <x:f>IF('Setup'!$B$22&gt;0,"",IF(J54=0,0,K54/J54))</x:f>
        <x:v>0</x:v>
      </x:c>
      <x:c r="N54" s="25" t="n">
        <x:f>IF('Setup'!$B$22&gt;0,"",SUM('Capacity'!Z60:Z62)*C54)</x:f>
        <x:v>0</x:v>
      </x:c>
      <x:c r="O54" s="25" t="n">
        <x:f>IF('Setup'!$B$22&gt;0,"",SUM('Capacity'!Q60:Q62)*C54)</x:f>
        <x:v>0</x:v>
      </x:c>
      <x:c r="P54" s="1" t="str">
        <x:f>IF('Setup'!$B$22&gt;0,"",IF(C54=0,"Closed",INDEX('Processes'!$A$6:$A$8,MATCH(J54,G54:I54,0))))</x:f>
        <x:v>Closed</x:v>
      </x:c>
      <x:c r="Q54" s="1" t="n">
        <x:f>IF('Setup'!$B$22&gt;0,"",IF(C54=0,0,MAX(0,ROUNDUP(F54/'Capacity'!X60-'Capacity'!Y60,0)-'Capacity'!G60)))</x:f>
        <x:v>0</x:v>
      </x:c>
      <x:c r="R54" s="1" t="n">
        <x:f>IF('Setup'!$B$22&gt;0,"",IF(C54=0,0,MAX(0,ROUNDUP(F54/'Capacity'!X61-'Capacity'!Y61,0)-'Capacity'!G61)))</x:f>
        <x:v>0</x:v>
      </x:c>
      <x:c r="S54" s="1" t="n">
        <x:f>IF('Setup'!$B$22&gt;0,"",IF(C54=0,0,MAX(0,ROUNDUP(F54/'Capacity'!X62-'Capacity'!Y62,0)-'Capacity'!G62)))</x:f>
        <x:v>0</x:v>
      </x:c>
      <x:c r="T54" s="1" t="str">
        <x:f>IF('Setup'!$B$22&gt;0,"",IF(C54=0,IF(L54&gt;'Setup'!$B$7,"Backlog on closed day","Closed"),IF(OR(V54&gt;0,W54&gt;0),"Resolve staffing limits",IF(U54&gt;0,"Resolve physical limit",IF(L54&gt;'Setup'!$B$7,"Close labor capacity gap",IF(L54&gt;0,"Backlog below threshold","Within daily capacity"))))))</x:f>
        <x:v>Backlog on closed day</x:v>
      </x:c>
      <x:c r="U54" s="1" t="n">
        <x:f>IF('Setup'!$B$22&gt;0,"",IF(C54=0,0,MAX(0,F54-INT(MIN('Capacity'!M60:M62)))))</x:f>
        <x:v>0</x:v>
      </x:c>
      <x:c r="V54" s="1" t="n">
        <x:f>IF('Setup'!$B$22&gt;0,"",SUM('Capacity'!T60:T62)*C54)</x:f>
        <x:v>0</x:v>
      </x:c>
      <x:c r="W54" s="1" t="n">
        <x:f>IF('Setup'!$B$22&gt;0,"",SUM('Capacity'!W60:W62)*C54)</x:f>
        <x:v>0</x:v>
      </x:c>
    </x:row>
    <x:row r="55" ht="23" customHeight="1">
      <x:c r="A55" s="20" t="n">
        <x:f>IF('Setup'!$B$22&gt;0,"",'Demand'!A55)</x:f>
        <x:v>46349</x:v>
      </x:c>
      <x:c r="B55" s="1" t="n">
        <x:f>IF('Setup'!$B$22&gt;0,"",'Demand'!B55)</x:f>
        <x:v>8</x:v>
      </x:c>
      <x:c r="C55" s="1" t="n">
        <x:f>IF('Setup'!$B$22&gt;0,"",'Demand'!C55)</x:f>
        <x:v>1</x:v>
      </x:c>
      <x:c r="D55" s="24" t="n">
        <x:f>IF('Setup'!$B$22&gt;0,"",ROUND('Demand'!D55*'Setup'!B18,0))</x:f>
        <x:v>16800</x:v>
      </x:c>
      <x:c r="E55" s="24" t="n">
        <x:f>IF('Setup'!$B$22&gt;0,"",L54)</x:f>
        <x:v>125085</x:v>
      </x:c>
      <x:c r="F55" s="24" t="n">
        <x:f>IF('Setup'!$B$22&gt;0,"",D55+E55)</x:f>
        <x:v>141885</x:v>
      </x:c>
      <x:c r="G55" s="24" t="n">
        <x:f>IF('Setup'!$B$22&gt;0,"",'Capacity'!N63*C55)</x:f>
        <x:v>9531</x:v>
      </x:c>
      <x:c r="H55" s="24" t="n">
        <x:f>IF('Setup'!$B$22&gt;0,"",'Capacity'!N64*C55)</x:f>
        <x:v>8986</x:v>
      </x:c>
      <x:c r="I55" s="24" t="n">
        <x:f>IF('Setup'!$B$22&gt;0,"",'Capacity'!N65*C55)</x:f>
        <x:v>8000</x:v>
      </x:c>
      <x:c r="J55" s="24" t="n">
        <x:f>IF('Setup'!$B$22&gt;0,"",MIN(G55:I55))</x:f>
        <x:v>8000</x:v>
      </x:c>
      <x:c r="K55" s="24" t="n">
        <x:f>IF('Setup'!$B$22&gt;0,"",MIN(F55,J55))</x:f>
        <x:v>8000</x:v>
      </x:c>
      <x:c r="L55" s="24" t="n">
        <x:f>IF('Setup'!$B$22&gt;0,"",MAX(0,F55-K55))</x:f>
        <x:v>133885</x:v>
      </x:c>
      <x:c r="M55" s="23" t="n">
        <x:f>IF('Setup'!$B$22&gt;0,"",IF(J55=0,0,K55/J55))</x:f>
        <x:v>1</x:v>
      </x:c>
      <x:c r="N55" s="25" t="n">
        <x:f>IF('Setup'!$B$22&gt;0,"",SUM('Capacity'!Z63:Z65)*C55)</x:f>
        <x:v>13442.12</x:v>
      </x:c>
      <x:c r="O55" s="25" t="n">
        <x:f>IF('Setup'!$B$22&gt;0,"",SUM('Capacity'!Q63:Q65)*C55)</x:f>
        <x:v>4109.639999999999</x:v>
      </x:c>
      <x:c r="P55" s="1" t="str">
        <x:f>IF('Setup'!$B$22&gt;0,"",IF(C55=0,"Closed",INDEX('Processes'!$A$6:$A$8,MATCH(J55,G55:I55,0))))</x:f>
        <x:v>Ship</x:v>
      </x:c>
      <x:c r="Q55" s="1" t="n">
        <x:f>IF('Setup'!$B$22&gt;0,"",IF(C55=0,0,MAX(0,ROUNDUP(F55/'Capacity'!X63-'Capacity'!Y63,0)-'Capacity'!G63)))</x:f>
        <x:v>389</x:v>
      </x:c>
      <x:c r="R55" s="1" t="n">
        <x:f>IF('Setup'!$B$22&gt;0,"",IF(C55=0,0,MAX(0,ROUNDUP(F55/'Capacity'!X64-'Capacity'!Y64,0)-'Capacity'!G64)))</x:f>
        <x:v>326</x:v>
      </x:c>
      <x:c r="S55" s="1" t="n">
        <x:f>IF('Setup'!$B$22&gt;0,"",IF(C55=0,0,MAX(0,ROUNDUP(F55/'Capacity'!X65-'Capacity'!Y65,0)-'Capacity'!G65)))</x:f>
        <x:v>196</x:v>
      </x:c>
      <x:c r="T55" s="1" t="str">
        <x:f>IF('Setup'!$B$22&gt;0,"",IF(C55=0,IF(L55&gt;'Setup'!$B$7,"Backlog on closed day","Closed"),IF(OR(V55&gt;0,W55&gt;0),"Resolve staffing limits",IF(U55&gt;0,"Resolve physical limit",IF(L55&gt;'Setup'!$B$7,"Close labor capacity gap",IF(L55&gt;0,"Backlog below threshold","Within daily capacity"))))))</x:f>
        <x:v>Resolve physical limit</x:v>
      </x:c>
      <x:c r="U55" s="1" t="n">
        <x:f>IF('Setup'!$B$22&gt;0,"",IF(C55=0,0,MAX(0,F55-INT(MIN('Capacity'!M63:M65)))))</x:f>
        <x:v>133885</x:v>
      </x:c>
      <x:c r="V55" s="1" t="n">
        <x:f>IF('Setup'!$B$22&gt;0,"",SUM('Capacity'!T63:T65)*C55)</x:f>
        <x:v>0</x:v>
      </x:c>
      <x:c r="W55" s="1" t="n">
        <x:f>IF('Setup'!$B$22&gt;0,"",SUM('Capacity'!W63:W65)*C55)</x:f>
        <x:v>0</x:v>
      </x:c>
    </x:row>
    <x:row r="56" ht="23" customHeight="1">
      <x:c r="A56" s="20" t="n">
        <x:f>IF('Setup'!$B$22&gt;0,"",'Demand'!A56)</x:f>
        <x:v>46350</x:v>
      </x:c>
      <x:c r="B56" s="1" t="n">
        <x:f>IF('Setup'!$B$22&gt;0,"",'Demand'!B56)</x:f>
        <x:v>8</x:v>
      </x:c>
      <x:c r="C56" s="1" t="n">
        <x:f>IF('Setup'!$B$22&gt;0,"",'Demand'!C56)</x:f>
        <x:v>1</x:v>
      </x:c>
      <x:c r="D56" s="24" t="n">
        <x:f>IF('Setup'!$B$22&gt;0,"",ROUND('Demand'!D56*'Setup'!B18,0))</x:f>
        <x:v>16800</x:v>
      </x:c>
      <x:c r="E56" s="24" t="n">
        <x:f>IF('Setup'!$B$22&gt;0,"",L55)</x:f>
        <x:v>133885</x:v>
      </x:c>
      <x:c r="F56" s="24" t="n">
        <x:f>IF('Setup'!$B$22&gt;0,"",D56+E56)</x:f>
        <x:v>150685</x:v>
      </x:c>
      <x:c r="G56" s="24" t="n">
        <x:f>IF('Setup'!$B$22&gt;0,"",'Capacity'!N63*C56)</x:f>
        <x:v>9531</x:v>
      </x:c>
      <x:c r="H56" s="24" t="n">
        <x:f>IF('Setup'!$B$22&gt;0,"",'Capacity'!N64*C56)</x:f>
        <x:v>8986</x:v>
      </x:c>
      <x:c r="I56" s="24" t="n">
        <x:f>IF('Setup'!$B$22&gt;0,"",'Capacity'!N65*C56)</x:f>
        <x:v>8000</x:v>
      </x:c>
      <x:c r="J56" s="24" t="n">
        <x:f>IF('Setup'!$B$22&gt;0,"",MIN(G56:I56))</x:f>
        <x:v>8000</x:v>
      </x:c>
      <x:c r="K56" s="24" t="n">
        <x:f>IF('Setup'!$B$22&gt;0,"",MIN(F56,J56))</x:f>
        <x:v>8000</x:v>
      </x:c>
      <x:c r="L56" s="24" t="n">
        <x:f>IF('Setup'!$B$22&gt;0,"",MAX(0,F56-K56))</x:f>
        <x:v>142685</x:v>
      </x:c>
      <x:c r="M56" s="23" t="n">
        <x:f>IF('Setup'!$B$22&gt;0,"",IF(J56=0,0,K56/J56))</x:f>
        <x:v>1</x:v>
      </x:c>
      <x:c r="N56" s="25" t="n">
        <x:f>IF('Setup'!$B$22&gt;0,"",SUM('Capacity'!Z63:Z65)*C56)</x:f>
        <x:v>13442.12</x:v>
      </x:c>
      <x:c r="O56" s="25" t="n">
        <x:f>IF('Setup'!$B$22&gt;0,"",SUM('Capacity'!Q63:Q65)*C56)</x:f>
        <x:v>4109.639999999999</x:v>
      </x:c>
      <x:c r="P56" s="1" t="str">
        <x:f>IF('Setup'!$B$22&gt;0,"",IF(C56=0,"Closed",INDEX('Processes'!$A$6:$A$8,MATCH(J56,G56:I56,0))))</x:f>
        <x:v>Ship</x:v>
      </x:c>
      <x:c r="Q56" s="1" t="n">
        <x:f>IF('Setup'!$B$22&gt;0,"",IF(C56=0,0,MAX(0,ROUNDUP(F56/'Capacity'!X63-'Capacity'!Y63,0)-'Capacity'!G63)))</x:f>
        <x:v>415</x:v>
      </x:c>
      <x:c r="R56" s="1" t="n">
        <x:f>IF('Setup'!$B$22&gt;0,"",IF(C56=0,0,MAX(0,ROUNDUP(F56/'Capacity'!X64-'Capacity'!Y64,0)-'Capacity'!G64)))</x:f>
        <x:v>347</x:v>
      </x:c>
      <x:c r="S56" s="1" t="n">
        <x:f>IF('Setup'!$B$22&gt;0,"",IF(C56=0,0,MAX(0,ROUNDUP(F56/'Capacity'!X65-'Capacity'!Y65,0)-'Capacity'!G65)))</x:f>
        <x:v>209</x:v>
      </x:c>
      <x:c r="T56" s="1" t="str">
        <x:f>IF('Setup'!$B$22&gt;0,"",IF(C56=0,IF(L56&gt;'Setup'!$B$7,"Backlog on closed day","Closed"),IF(OR(V56&gt;0,W56&gt;0),"Resolve staffing limits",IF(U56&gt;0,"Resolve physical limit",IF(L56&gt;'Setup'!$B$7,"Close labor capacity gap",IF(L56&gt;0,"Backlog below threshold","Within daily capacity"))))))</x:f>
        <x:v>Resolve physical limit</x:v>
      </x:c>
      <x:c r="U56" s="1" t="n">
        <x:f>IF('Setup'!$B$22&gt;0,"",IF(C56=0,0,MAX(0,F56-INT(MIN('Capacity'!M63:M65)))))</x:f>
        <x:v>142685</x:v>
      </x:c>
      <x:c r="V56" s="1" t="n">
        <x:f>IF('Setup'!$B$22&gt;0,"",SUM('Capacity'!T63:T65)*C56)</x:f>
        <x:v>0</x:v>
      </x:c>
      <x:c r="W56" s="1" t="n">
        <x:f>IF('Setup'!$B$22&gt;0,"",SUM('Capacity'!W63:W65)*C56)</x:f>
        <x:v>0</x:v>
      </x:c>
    </x:row>
    <x:row r="57" ht="23" customHeight="1">
      <x:c r="A57" s="20" t="n">
        <x:f>IF('Setup'!$B$22&gt;0,"",'Demand'!A57)</x:f>
        <x:v>46351</x:v>
      </x:c>
      <x:c r="B57" s="1" t="n">
        <x:f>IF('Setup'!$B$22&gt;0,"",'Demand'!B57)</x:f>
        <x:v>8</x:v>
      </x:c>
      <x:c r="C57" s="1" t="n">
        <x:f>IF('Setup'!$B$22&gt;0,"",'Demand'!C57)</x:f>
        <x:v>1</x:v>
      </x:c>
      <x:c r="D57" s="24" t="n">
        <x:f>IF('Setup'!$B$22&gt;0,"",ROUND('Demand'!D57*'Setup'!B18,0))</x:f>
        <x:v>16800</x:v>
      </x:c>
      <x:c r="E57" s="24" t="n">
        <x:f>IF('Setup'!$B$22&gt;0,"",L56)</x:f>
        <x:v>142685</x:v>
      </x:c>
      <x:c r="F57" s="24" t="n">
        <x:f>IF('Setup'!$B$22&gt;0,"",D57+E57)</x:f>
        <x:v>159485</x:v>
      </x:c>
      <x:c r="G57" s="24" t="n">
        <x:f>IF('Setup'!$B$22&gt;0,"",'Capacity'!N63*C57)</x:f>
        <x:v>9531</x:v>
      </x:c>
      <x:c r="H57" s="24" t="n">
        <x:f>IF('Setup'!$B$22&gt;0,"",'Capacity'!N64*C57)</x:f>
        <x:v>8986</x:v>
      </x:c>
      <x:c r="I57" s="24" t="n">
        <x:f>IF('Setup'!$B$22&gt;0,"",'Capacity'!N65*C57)</x:f>
        <x:v>8000</x:v>
      </x:c>
      <x:c r="J57" s="24" t="n">
        <x:f>IF('Setup'!$B$22&gt;0,"",MIN(G57:I57))</x:f>
        <x:v>8000</x:v>
      </x:c>
      <x:c r="K57" s="24" t="n">
        <x:f>IF('Setup'!$B$22&gt;0,"",MIN(F57,J57))</x:f>
        <x:v>8000</x:v>
      </x:c>
      <x:c r="L57" s="24" t="n">
        <x:f>IF('Setup'!$B$22&gt;0,"",MAX(0,F57-K57))</x:f>
        <x:v>151485</x:v>
      </x:c>
      <x:c r="M57" s="23" t="n">
        <x:f>IF('Setup'!$B$22&gt;0,"",IF(J57=0,0,K57/J57))</x:f>
        <x:v>1</x:v>
      </x:c>
      <x:c r="N57" s="25" t="n">
        <x:f>IF('Setup'!$B$22&gt;0,"",SUM('Capacity'!Z63:Z65)*C57)</x:f>
        <x:v>13442.12</x:v>
      </x:c>
      <x:c r="O57" s="25" t="n">
        <x:f>IF('Setup'!$B$22&gt;0,"",SUM('Capacity'!Q63:Q65)*C57)</x:f>
        <x:v>4109.639999999999</x:v>
      </x:c>
      <x:c r="P57" s="1" t="str">
        <x:f>IF('Setup'!$B$22&gt;0,"",IF(C57=0,"Closed",INDEX('Processes'!$A$6:$A$8,MATCH(J57,G57:I57,0))))</x:f>
        <x:v>Ship</x:v>
      </x:c>
      <x:c r="Q57" s="1" t="n">
        <x:f>IF('Setup'!$B$22&gt;0,"",IF(C57=0,0,MAX(0,ROUNDUP(F57/'Capacity'!X63-'Capacity'!Y63,0)-'Capacity'!G63)))</x:f>
        <x:v>441</x:v>
      </x:c>
      <x:c r="R57" s="1" t="n">
        <x:f>IF('Setup'!$B$22&gt;0,"",IF(C57=0,0,MAX(0,ROUNDUP(F57/'Capacity'!X64-'Capacity'!Y64,0)-'Capacity'!G64)))</x:f>
        <x:v>369</x:v>
      </x:c>
      <x:c r="S57" s="1" t="n">
        <x:f>IF('Setup'!$B$22&gt;0,"",IF(C57=0,0,MAX(0,ROUNDUP(F57/'Capacity'!X65-'Capacity'!Y65,0)-'Capacity'!G65)))</x:f>
        <x:v>222</x:v>
      </x:c>
      <x:c r="T57" s="1" t="str">
        <x:f>IF('Setup'!$B$22&gt;0,"",IF(C57=0,IF(L57&gt;'Setup'!$B$7,"Backlog on closed day","Closed"),IF(OR(V57&gt;0,W57&gt;0),"Resolve staffing limits",IF(U57&gt;0,"Resolve physical limit",IF(L57&gt;'Setup'!$B$7,"Close labor capacity gap",IF(L57&gt;0,"Backlog below threshold","Within daily capacity"))))))</x:f>
        <x:v>Resolve physical limit</x:v>
      </x:c>
      <x:c r="U57" s="1" t="n">
        <x:f>IF('Setup'!$B$22&gt;0,"",IF(C57=0,0,MAX(0,F57-INT(MIN('Capacity'!M63:M65)))))</x:f>
        <x:v>151485</x:v>
      </x:c>
      <x:c r="V57" s="1" t="n">
        <x:f>IF('Setup'!$B$22&gt;0,"",SUM('Capacity'!T63:T65)*C57)</x:f>
        <x:v>0</x:v>
      </x:c>
      <x:c r="W57" s="1" t="n">
        <x:f>IF('Setup'!$B$22&gt;0,"",SUM('Capacity'!W63:W65)*C57)</x:f>
        <x:v>0</x:v>
      </x:c>
    </x:row>
    <x:row r="58" ht="23" customHeight="1">
      <x:c r="A58" s="20" t="n">
        <x:f>IF('Setup'!$B$22&gt;0,"",'Demand'!A58)</x:f>
        <x:v>46352</x:v>
      </x:c>
      <x:c r="B58" s="1" t="n">
        <x:f>IF('Setup'!$B$22&gt;0,"",'Demand'!B58)</x:f>
        <x:v>8</x:v>
      </x:c>
      <x:c r="C58" s="1" t="n">
        <x:f>IF('Setup'!$B$22&gt;0,"",'Demand'!C58)</x:f>
        <x:v>1</x:v>
      </x:c>
      <x:c r="D58" s="24" t="n">
        <x:f>IF('Setup'!$B$22&gt;0,"",ROUND('Demand'!D58*'Setup'!B18,0))</x:f>
        <x:v>16800</x:v>
      </x:c>
      <x:c r="E58" s="24" t="n">
        <x:f>IF('Setup'!$B$22&gt;0,"",L57)</x:f>
        <x:v>151485</x:v>
      </x:c>
      <x:c r="F58" s="24" t="n">
        <x:f>IF('Setup'!$B$22&gt;0,"",D58+E58)</x:f>
        <x:v>168285</x:v>
      </x:c>
      <x:c r="G58" s="24" t="n">
        <x:f>IF('Setup'!$B$22&gt;0,"",'Capacity'!N63*C58)</x:f>
        <x:v>9531</x:v>
      </x:c>
      <x:c r="H58" s="24" t="n">
        <x:f>IF('Setup'!$B$22&gt;0,"",'Capacity'!N64*C58)</x:f>
        <x:v>8986</x:v>
      </x:c>
      <x:c r="I58" s="24" t="n">
        <x:f>IF('Setup'!$B$22&gt;0,"",'Capacity'!N65*C58)</x:f>
        <x:v>8000</x:v>
      </x:c>
      <x:c r="J58" s="24" t="n">
        <x:f>IF('Setup'!$B$22&gt;0,"",MIN(G58:I58))</x:f>
        <x:v>8000</x:v>
      </x:c>
      <x:c r="K58" s="24" t="n">
        <x:f>IF('Setup'!$B$22&gt;0,"",MIN(F58,J58))</x:f>
        <x:v>8000</x:v>
      </x:c>
      <x:c r="L58" s="24" t="n">
        <x:f>IF('Setup'!$B$22&gt;0,"",MAX(0,F58-K58))</x:f>
        <x:v>160285</x:v>
      </x:c>
      <x:c r="M58" s="23" t="n">
        <x:f>IF('Setup'!$B$22&gt;0,"",IF(J58=0,0,K58/J58))</x:f>
        <x:v>1</x:v>
      </x:c>
      <x:c r="N58" s="25" t="n">
        <x:f>IF('Setup'!$B$22&gt;0,"",SUM('Capacity'!Z63:Z65)*C58)</x:f>
        <x:v>13442.12</x:v>
      </x:c>
      <x:c r="O58" s="25" t="n">
        <x:f>IF('Setup'!$B$22&gt;0,"",SUM('Capacity'!Q63:Q65)*C58)</x:f>
        <x:v>4109.639999999999</x:v>
      </x:c>
      <x:c r="P58" s="1" t="str">
        <x:f>IF('Setup'!$B$22&gt;0,"",IF(C58=0,"Closed",INDEX('Processes'!$A$6:$A$8,MATCH(J58,G58:I58,0))))</x:f>
        <x:v>Ship</x:v>
      </x:c>
      <x:c r="Q58" s="1" t="n">
        <x:f>IF('Setup'!$B$22&gt;0,"",IF(C58=0,0,MAX(0,ROUNDUP(F58/'Capacity'!X63-'Capacity'!Y63,0)-'Capacity'!G63)))</x:f>
        <x:v>467</x:v>
      </x:c>
      <x:c r="R58" s="1" t="n">
        <x:f>IF('Setup'!$B$22&gt;0,"",IF(C58=0,0,MAX(0,ROUNDUP(F58/'Capacity'!X64-'Capacity'!Y64,0)-'Capacity'!G64)))</x:f>
        <x:v>390</x:v>
      </x:c>
      <x:c r="S58" s="1" t="n">
        <x:f>IF('Setup'!$B$22&gt;0,"",IF(C58=0,0,MAX(0,ROUNDUP(F58/'Capacity'!X65-'Capacity'!Y65,0)-'Capacity'!G65)))</x:f>
        <x:v>235</x:v>
      </x:c>
      <x:c r="T58" s="1" t="str">
        <x:f>IF('Setup'!$B$22&gt;0,"",IF(C58=0,IF(L58&gt;'Setup'!$B$7,"Backlog on closed day","Closed"),IF(OR(V58&gt;0,W58&gt;0),"Resolve staffing limits",IF(U58&gt;0,"Resolve physical limit",IF(L58&gt;'Setup'!$B$7,"Close labor capacity gap",IF(L58&gt;0,"Backlog below threshold","Within daily capacity"))))))</x:f>
        <x:v>Resolve physical limit</x:v>
      </x:c>
      <x:c r="U58" s="1" t="n">
        <x:f>IF('Setup'!$B$22&gt;0,"",IF(C58=0,0,MAX(0,F58-INT(MIN('Capacity'!M63:M65)))))</x:f>
        <x:v>160285</x:v>
      </x:c>
      <x:c r="V58" s="1" t="n">
        <x:f>IF('Setup'!$B$22&gt;0,"",SUM('Capacity'!T63:T65)*C58)</x:f>
        <x:v>0</x:v>
      </x:c>
      <x:c r="W58" s="1" t="n">
        <x:f>IF('Setup'!$B$22&gt;0,"",SUM('Capacity'!W63:W65)*C58)</x:f>
        <x:v>0</x:v>
      </x:c>
    </x:row>
    <x:row r="59" ht="23" customHeight="1">
      <x:c r="A59" s="20" t="n">
        <x:f>IF('Setup'!$B$22&gt;0,"",'Demand'!A59)</x:f>
        <x:v>46353</x:v>
      </x:c>
      <x:c r="B59" s="1" t="n">
        <x:f>IF('Setup'!$B$22&gt;0,"",'Demand'!B59)</x:f>
        <x:v>8</x:v>
      </x:c>
      <x:c r="C59" s="1" t="n">
        <x:f>IF('Setup'!$B$22&gt;0,"",'Demand'!C59)</x:f>
        <x:v>1</x:v>
      </x:c>
      <x:c r="D59" s="24" t="n">
        <x:f>IF('Setup'!$B$22&gt;0,"",ROUND('Demand'!D59*'Setup'!B18,0))</x:f>
        <x:v>16800</x:v>
      </x:c>
      <x:c r="E59" s="24" t="n">
        <x:f>IF('Setup'!$B$22&gt;0,"",L58)</x:f>
        <x:v>160285</x:v>
      </x:c>
      <x:c r="F59" s="24" t="n">
        <x:f>IF('Setup'!$B$22&gt;0,"",D59+E59)</x:f>
        <x:v>177085</x:v>
      </x:c>
      <x:c r="G59" s="24" t="n">
        <x:f>IF('Setup'!$B$22&gt;0,"",'Capacity'!N63*C59)</x:f>
        <x:v>9531</x:v>
      </x:c>
      <x:c r="H59" s="24" t="n">
        <x:f>IF('Setup'!$B$22&gt;0,"",'Capacity'!N64*C59)</x:f>
        <x:v>8986</x:v>
      </x:c>
      <x:c r="I59" s="24" t="n">
        <x:f>IF('Setup'!$B$22&gt;0,"",'Capacity'!N65*C59)</x:f>
        <x:v>8000</x:v>
      </x:c>
      <x:c r="J59" s="24" t="n">
        <x:f>IF('Setup'!$B$22&gt;0,"",MIN(G59:I59))</x:f>
        <x:v>8000</x:v>
      </x:c>
      <x:c r="K59" s="24" t="n">
        <x:f>IF('Setup'!$B$22&gt;0,"",MIN(F59,J59))</x:f>
        <x:v>8000</x:v>
      </x:c>
      <x:c r="L59" s="24" t="n">
        <x:f>IF('Setup'!$B$22&gt;0,"",MAX(0,F59-K59))</x:f>
        <x:v>169085</x:v>
      </x:c>
      <x:c r="M59" s="23" t="n">
        <x:f>IF('Setup'!$B$22&gt;0,"",IF(J59=0,0,K59/J59))</x:f>
        <x:v>1</x:v>
      </x:c>
      <x:c r="N59" s="25" t="n">
        <x:f>IF('Setup'!$B$22&gt;0,"",SUM('Capacity'!Z63:Z65)*C59)</x:f>
        <x:v>13442.12</x:v>
      </x:c>
      <x:c r="O59" s="25" t="n">
        <x:f>IF('Setup'!$B$22&gt;0,"",SUM('Capacity'!Q63:Q65)*C59)</x:f>
        <x:v>4109.639999999999</x:v>
      </x:c>
      <x:c r="P59" s="1" t="str">
        <x:f>IF('Setup'!$B$22&gt;0,"",IF(C59=0,"Closed",INDEX('Processes'!$A$6:$A$8,MATCH(J59,G59:I59,0))))</x:f>
        <x:v>Ship</x:v>
      </x:c>
      <x:c r="Q59" s="1" t="n">
        <x:f>IF('Setup'!$B$22&gt;0,"",IF(C59=0,0,MAX(0,ROUNDUP(F59/'Capacity'!X63-'Capacity'!Y63,0)-'Capacity'!G63)))</x:f>
        <x:v>493</x:v>
      </x:c>
      <x:c r="R59" s="1" t="n">
        <x:f>IF('Setup'!$B$22&gt;0,"",IF(C59=0,0,MAX(0,ROUNDUP(F59/'Capacity'!X64-'Capacity'!Y64,0)-'Capacity'!G64)))</x:f>
        <x:v>412</x:v>
      </x:c>
      <x:c r="S59" s="1" t="n">
        <x:f>IF('Setup'!$B$22&gt;0,"",IF(C59=0,0,MAX(0,ROUNDUP(F59/'Capacity'!X65-'Capacity'!Y65,0)-'Capacity'!G65)))</x:f>
        <x:v>248</x:v>
      </x:c>
      <x:c r="T59" s="1" t="str">
        <x:f>IF('Setup'!$B$22&gt;0,"",IF(C59=0,IF(L59&gt;'Setup'!$B$7,"Backlog on closed day","Closed"),IF(OR(V59&gt;0,W59&gt;0),"Resolve staffing limits",IF(U59&gt;0,"Resolve physical limit",IF(L59&gt;'Setup'!$B$7,"Close labor capacity gap",IF(L59&gt;0,"Backlog below threshold","Within daily capacity"))))))</x:f>
        <x:v>Resolve physical limit</x:v>
      </x:c>
      <x:c r="U59" s="1" t="n">
        <x:f>IF('Setup'!$B$22&gt;0,"",IF(C59=0,0,MAX(0,F59-INT(MIN('Capacity'!M63:M65)))))</x:f>
        <x:v>169085</x:v>
      </x:c>
      <x:c r="V59" s="1" t="n">
        <x:f>IF('Setup'!$B$22&gt;0,"",SUM('Capacity'!T63:T65)*C59)</x:f>
        <x:v>0</x:v>
      </x:c>
      <x:c r="W59" s="1" t="n">
        <x:f>IF('Setup'!$B$22&gt;0,"",SUM('Capacity'!W63:W65)*C59)</x:f>
        <x:v>0</x:v>
      </x:c>
    </x:row>
    <x:row r="60" ht="23" customHeight="1">
      <x:c r="A60" s="20" t="n">
        <x:f>IF('Setup'!$B$22&gt;0,"",'Demand'!A60)</x:f>
        <x:v>46354</x:v>
      </x:c>
      <x:c r="B60" s="1" t="n">
        <x:f>IF('Setup'!$B$22&gt;0,"",'Demand'!B60)</x:f>
        <x:v>8</x:v>
      </x:c>
      <x:c r="C60" s="1" t="n">
        <x:f>IF('Setup'!$B$22&gt;0,"",'Demand'!C60)</x:f>
        <x:v>0</x:v>
      </x:c>
      <x:c r="D60" s="24" t="n">
        <x:f>IF('Setup'!$B$22&gt;0,"",ROUND('Demand'!D60*'Setup'!B18,0))</x:f>
        <x:v>0</x:v>
      </x:c>
      <x:c r="E60" s="24" t="n">
        <x:f>IF('Setup'!$B$22&gt;0,"",L59)</x:f>
        <x:v>169085</x:v>
      </x:c>
      <x:c r="F60" s="24" t="n">
        <x:f>IF('Setup'!$B$22&gt;0,"",D60+E60)</x:f>
        <x:v>169085</x:v>
      </x:c>
      <x:c r="G60" s="24" t="n">
        <x:f>IF('Setup'!$B$22&gt;0,"",'Capacity'!N63*C60)</x:f>
        <x:v>0</x:v>
      </x:c>
      <x:c r="H60" s="24" t="n">
        <x:f>IF('Setup'!$B$22&gt;0,"",'Capacity'!N64*C60)</x:f>
        <x:v>0</x:v>
      </x:c>
      <x:c r="I60" s="24" t="n">
        <x:f>IF('Setup'!$B$22&gt;0,"",'Capacity'!N65*C60)</x:f>
        <x:v>0</x:v>
      </x:c>
      <x:c r="J60" s="24" t="n">
        <x:f>IF('Setup'!$B$22&gt;0,"",MIN(G60:I60))</x:f>
        <x:v>0</x:v>
      </x:c>
      <x:c r="K60" s="24" t="n">
        <x:f>IF('Setup'!$B$22&gt;0,"",MIN(F60,J60))</x:f>
        <x:v>0</x:v>
      </x:c>
      <x:c r="L60" s="24" t="n">
        <x:f>IF('Setup'!$B$22&gt;0,"",MAX(0,F60-K60))</x:f>
        <x:v>169085</x:v>
      </x:c>
      <x:c r="M60" s="23" t="n">
        <x:f>IF('Setup'!$B$22&gt;0,"",IF(J60=0,0,K60/J60))</x:f>
        <x:v>0</x:v>
      </x:c>
      <x:c r="N60" s="25" t="n">
        <x:f>IF('Setup'!$B$22&gt;0,"",SUM('Capacity'!Z63:Z65)*C60)</x:f>
        <x:v>0</x:v>
      </x:c>
      <x:c r="O60" s="25" t="n">
        <x:f>IF('Setup'!$B$22&gt;0,"",SUM('Capacity'!Q63:Q65)*C60)</x:f>
        <x:v>0</x:v>
      </x:c>
      <x:c r="P60" s="1" t="str">
        <x:f>IF('Setup'!$B$22&gt;0,"",IF(C60=0,"Closed",INDEX('Processes'!$A$6:$A$8,MATCH(J60,G60:I60,0))))</x:f>
        <x:v>Closed</x:v>
      </x:c>
      <x:c r="Q60" s="1" t="n">
        <x:f>IF('Setup'!$B$22&gt;0,"",IF(C60=0,0,MAX(0,ROUNDUP(F60/'Capacity'!X63-'Capacity'!Y63,0)-'Capacity'!G63)))</x:f>
        <x:v>0</x:v>
      </x:c>
      <x:c r="R60" s="1" t="n">
        <x:f>IF('Setup'!$B$22&gt;0,"",IF(C60=0,0,MAX(0,ROUNDUP(F60/'Capacity'!X64-'Capacity'!Y64,0)-'Capacity'!G64)))</x:f>
        <x:v>0</x:v>
      </x:c>
      <x:c r="S60" s="1" t="n">
        <x:f>IF('Setup'!$B$22&gt;0,"",IF(C60=0,0,MAX(0,ROUNDUP(F60/'Capacity'!X65-'Capacity'!Y65,0)-'Capacity'!G65)))</x:f>
        <x:v>0</x:v>
      </x:c>
      <x:c r="T60" s="1" t="str">
        <x:f>IF('Setup'!$B$22&gt;0,"",IF(C60=0,IF(L60&gt;'Setup'!$B$7,"Backlog on closed day","Closed"),IF(OR(V60&gt;0,W60&gt;0),"Resolve staffing limits",IF(U60&gt;0,"Resolve physical limit",IF(L60&gt;'Setup'!$B$7,"Close labor capacity gap",IF(L60&gt;0,"Backlog below threshold","Within daily capacity"))))))</x:f>
        <x:v>Backlog on closed day</x:v>
      </x:c>
      <x:c r="U60" s="1" t="n">
        <x:f>IF('Setup'!$B$22&gt;0,"",IF(C60=0,0,MAX(0,F60-INT(MIN('Capacity'!M63:M65)))))</x:f>
        <x:v>0</x:v>
      </x:c>
      <x:c r="V60" s="1" t="n">
        <x:f>IF('Setup'!$B$22&gt;0,"",SUM('Capacity'!T63:T65)*C60)</x:f>
        <x:v>0</x:v>
      </x:c>
      <x:c r="W60" s="1" t="n">
        <x:f>IF('Setup'!$B$22&gt;0,"",SUM('Capacity'!W63:W65)*C60)</x:f>
        <x:v>0</x:v>
      </x:c>
    </x:row>
    <x:row r="61" ht="23" customHeight="1">
      <x:c r="A61" s="20" t="n">
        <x:f>IF('Setup'!$B$22&gt;0,"",'Demand'!A61)</x:f>
        <x:v>46355</x:v>
      </x:c>
      <x:c r="B61" s="1" t="n">
        <x:f>IF('Setup'!$B$22&gt;0,"",'Demand'!B61)</x:f>
        <x:v>8</x:v>
      </x:c>
      <x:c r="C61" s="1" t="n">
        <x:f>IF('Setup'!$B$22&gt;0,"",'Demand'!C61)</x:f>
        <x:v>0</x:v>
      </x:c>
      <x:c r="D61" s="24" t="n">
        <x:f>IF('Setup'!$B$22&gt;0,"",ROUND('Demand'!D61*'Setup'!B18,0))</x:f>
        <x:v>0</x:v>
      </x:c>
      <x:c r="E61" s="24" t="n">
        <x:f>IF('Setup'!$B$22&gt;0,"",L60)</x:f>
        <x:v>169085</x:v>
      </x:c>
      <x:c r="F61" s="24" t="n">
        <x:f>IF('Setup'!$B$22&gt;0,"",D61+E61)</x:f>
        <x:v>169085</x:v>
      </x:c>
      <x:c r="G61" s="24" t="n">
        <x:f>IF('Setup'!$B$22&gt;0,"",'Capacity'!N63*C61)</x:f>
        <x:v>0</x:v>
      </x:c>
      <x:c r="H61" s="24" t="n">
        <x:f>IF('Setup'!$B$22&gt;0,"",'Capacity'!N64*C61)</x:f>
        <x:v>0</x:v>
      </x:c>
      <x:c r="I61" s="24" t="n">
        <x:f>IF('Setup'!$B$22&gt;0,"",'Capacity'!N65*C61)</x:f>
        <x:v>0</x:v>
      </x:c>
      <x:c r="J61" s="24" t="n">
        <x:f>IF('Setup'!$B$22&gt;0,"",MIN(G61:I61))</x:f>
        <x:v>0</x:v>
      </x:c>
      <x:c r="K61" s="24" t="n">
        <x:f>IF('Setup'!$B$22&gt;0,"",MIN(F61,J61))</x:f>
        <x:v>0</x:v>
      </x:c>
      <x:c r="L61" s="24" t="n">
        <x:f>IF('Setup'!$B$22&gt;0,"",MAX(0,F61-K61))</x:f>
        <x:v>169085</x:v>
      </x:c>
      <x:c r="M61" s="23" t="n">
        <x:f>IF('Setup'!$B$22&gt;0,"",IF(J61=0,0,K61/J61))</x:f>
        <x:v>0</x:v>
      </x:c>
      <x:c r="N61" s="25" t="n">
        <x:f>IF('Setup'!$B$22&gt;0,"",SUM('Capacity'!Z63:Z65)*C61)</x:f>
        <x:v>0</x:v>
      </x:c>
      <x:c r="O61" s="25" t="n">
        <x:f>IF('Setup'!$B$22&gt;0,"",SUM('Capacity'!Q63:Q65)*C61)</x:f>
        <x:v>0</x:v>
      </x:c>
      <x:c r="P61" s="1" t="str">
        <x:f>IF('Setup'!$B$22&gt;0,"",IF(C61=0,"Closed",INDEX('Processes'!$A$6:$A$8,MATCH(J61,G61:I61,0))))</x:f>
        <x:v>Closed</x:v>
      </x:c>
      <x:c r="Q61" s="1" t="n">
        <x:f>IF('Setup'!$B$22&gt;0,"",IF(C61=0,0,MAX(0,ROUNDUP(F61/'Capacity'!X63-'Capacity'!Y63,0)-'Capacity'!G63)))</x:f>
        <x:v>0</x:v>
      </x:c>
      <x:c r="R61" s="1" t="n">
        <x:f>IF('Setup'!$B$22&gt;0,"",IF(C61=0,0,MAX(0,ROUNDUP(F61/'Capacity'!X64-'Capacity'!Y64,0)-'Capacity'!G64)))</x:f>
        <x:v>0</x:v>
      </x:c>
      <x:c r="S61" s="1" t="n">
        <x:f>IF('Setup'!$B$22&gt;0,"",IF(C61=0,0,MAX(0,ROUNDUP(F61/'Capacity'!X65-'Capacity'!Y65,0)-'Capacity'!G65)))</x:f>
        <x:v>0</x:v>
      </x:c>
      <x:c r="T61" s="1" t="str">
        <x:f>IF('Setup'!$B$22&gt;0,"",IF(C61=0,IF(L61&gt;'Setup'!$B$7,"Backlog on closed day","Closed"),IF(OR(V61&gt;0,W61&gt;0),"Resolve staffing limits",IF(U61&gt;0,"Resolve physical limit",IF(L61&gt;'Setup'!$B$7,"Close labor capacity gap",IF(L61&gt;0,"Backlog below threshold","Within daily capacity"))))))</x:f>
        <x:v>Backlog on closed day</x:v>
      </x:c>
      <x:c r="U61" s="1" t="n">
        <x:f>IF('Setup'!$B$22&gt;0,"",IF(C61=0,0,MAX(0,F61-INT(MIN('Capacity'!M63:M65)))))</x:f>
        <x:v>0</x:v>
      </x:c>
      <x:c r="V61" s="1" t="n">
        <x:f>IF('Setup'!$B$22&gt;0,"",SUM('Capacity'!T63:T65)*C61)</x:f>
        <x:v>0</x:v>
      </x:c>
      <x:c r="W61" s="1" t="n">
        <x:f>IF('Setup'!$B$22&gt;0,"",SUM('Capacity'!W63:W65)*C61)</x:f>
        <x:v>0</x:v>
      </x:c>
    </x:row>
    <x:row r="62" ht="23" customHeight="1">
      <x:c r="A62" s="20" t="n">
        <x:f>IF('Setup'!$B$22&gt;0,"",'Demand'!A62)</x:f>
        <x:v>46356</x:v>
      </x:c>
      <x:c r="B62" s="1" t="n">
        <x:f>IF('Setup'!$B$22&gt;0,"",'Demand'!B62)</x:f>
        <x:v>9</x:v>
      </x:c>
      <x:c r="C62" s="1" t="n">
        <x:f>IF('Setup'!$B$22&gt;0,"",'Demand'!C62)</x:f>
        <x:v>1</x:v>
      </x:c>
      <x:c r="D62" s="24" t="n">
        <x:f>IF('Setup'!$B$22&gt;0,"",ROUND('Demand'!D62*'Setup'!B18,0))</x:f>
        <x:v>13800</x:v>
      </x:c>
      <x:c r="E62" s="24" t="n">
        <x:f>IF('Setup'!$B$22&gt;0,"",L61)</x:f>
        <x:v>169085</x:v>
      </x:c>
      <x:c r="F62" s="24" t="n">
        <x:f>IF('Setup'!$B$22&gt;0,"",D62+E62)</x:f>
        <x:v>182885</x:v>
      </x:c>
      <x:c r="G62" s="24" t="n">
        <x:f>IF('Setup'!$B$22&gt;0,"",'Capacity'!N66*C62)</x:f>
        <x:v>9531</x:v>
      </x:c>
      <x:c r="H62" s="24" t="n">
        <x:f>IF('Setup'!$B$22&gt;0,"",'Capacity'!N67*C62)</x:f>
        <x:v>8986</x:v>
      </x:c>
      <x:c r="I62" s="24" t="n">
        <x:f>IF('Setup'!$B$22&gt;0,"",'Capacity'!N68*C62)</x:f>
        <x:v>8000</x:v>
      </x:c>
      <x:c r="J62" s="24" t="n">
        <x:f>IF('Setup'!$B$22&gt;0,"",MIN(G62:I62))</x:f>
        <x:v>8000</x:v>
      </x:c>
      <x:c r="K62" s="24" t="n">
        <x:f>IF('Setup'!$B$22&gt;0,"",MIN(F62,J62))</x:f>
        <x:v>8000</x:v>
      </x:c>
      <x:c r="L62" s="24" t="n">
        <x:f>IF('Setup'!$B$22&gt;0,"",MAX(0,F62-K62))</x:f>
        <x:v>174885</x:v>
      </x:c>
      <x:c r="M62" s="23" t="n">
        <x:f>IF('Setup'!$B$22&gt;0,"",IF(J62=0,0,K62/J62))</x:f>
        <x:v>1</x:v>
      </x:c>
      <x:c r="N62" s="25" t="n">
        <x:f>IF('Setup'!$B$22&gt;0,"",SUM('Capacity'!Z66:Z68)*C62)</x:f>
        <x:v>13442.12</x:v>
      </x:c>
      <x:c r="O62" s="25" t="n">
        <x:f>IF('Setup'!$B$22&gt;0,"",SUM('Capacity'!Q66:Q68)*C62)</x:f>
        <x:v>4109.639999999999</x:v>
      </x:c>
      <x:c r="P62" s="1" t="str">
        <x:f>IF('Setup'!$B$22&gt;0,"",IF(C62=0,"Closed",INDEX('Processes'!$A$6:$A$8,MATCH(J62,G62:I62,0))))</x:f>
        <x:v>Ship</x:v>
      </x:c>
      <x:c r="Q62" s="1" t="n">
        <x:f>IF('Setup'!$B$22&gt;0,"",IF(C62=0,0,MAX(0,ROUNDUP(F62/'Capacity'!X66-'Capacity'!Y66,0)-'Capacity'!G66)))</x:f>
        <x:v>510</x:v>
      </x:c>
      <x:c r="R62" s="1" t="n">
        <x:f>IF('Setup'!$B$22&gt;0,"",IF(C62=0,0,MAX(0,ROUNDUP(F62/'Capacity'!X67-'Capacity'!Y67,0)-'Capacity'!G67)))</x:f>
        <x:v>426</x:v>
      </x:c>
      <x:c r="S62" s="1" t="n">
        <x:f>IF('Setup'!$B$22&gt;0,"",IF(C62=0,0,MAX(0,ROUNDUP(F62/'Capacity'!X68-'Capacity'!Y68,0)-'Capacity'!G68)))</x:f>
        <x:v>256</x:v>
      </x:c>
      <x:c r="T62" s="1" t="str">
        <x:f>IF('Setup'!$B$22&gt;0,"",IF(C62=0,IF(L62&gt;'Setup'!$B$7,"Backlog on closed day","Closed"),IF(OR(V62&gt;0,W62&gt;0),"Resolve staffing limits",IF(U62&gt;0,"Resolve physical limit",IF(L62&gt;'Setup'!$B$7,"Close labor capacity gap",IF(L62&gt;0,"Backlog below threshold","Within daily capacity"))))))</x:f>
        <x:v>Resolve physical limit</x:v>
      </x:c>
      <x:c r="U62" s="1" t="n">
        <x:f>IF('Setup'!$B$22&gt;0,"",IF(C62=0,0,MAX(0,F62-INT(MIN('Capacity'!M66:M68)))))</x:f>
        <x:v>174885</x:v>
      </x:c>
      <x:c r="V62" s="1" t="n">
        <x:f>IF('Setup'!$B$22&gt;0,"",SUM('Capacity'!T66:T68)*C62)</x:f>
        <x:v>0</x:v>
      </x:c>
      <x:c r="W62" s="1" t="n">
        <x:f>IF('Setup'!$B$22&gt;0,"",SUM('Capacity'!W66:W68)*C62)</x:f>
        <x:v>0</x:v>
      </x:c>
    </x:row>
    <x:row r="63" ht="23" customHeight="1">
      <x:c r="A63" s="20" t="n">
        <x:f>IF('Setup'!$B$22&gt;0,"",'Demand'!A63)</x:f>
        <x:v>46357</x:v>
      </x:c>
      <x:c r="B63" s="1" t="n">
        <x:f>IF('Setup'!$B$22&gt;0,"",'Demand'!B63)</x:f>
        <x:v>9</x:v>
      </x:c>
      <x:c r="C63" s="1" t="n">
        <x:f>IF('Setup'!$B$22&gt;0,"",'Demand'!C63)</x:f>
        <x:v>1</x:v>
      </x:c>
      <x:c r="D63" s="24" t="n">
        <x:f>IF('Setup'!$B$22&gt;0,"",ROUND('Demand'!D63*'Setup'!B18,0))</x:f>
        <x:v>13800</x:v>
      </x:c>
      <x:c r="E63" s="24" t="n">
        <x:f>IF('Setup'!$B$22&gt;0,"",L62)</x:f>
        <x:v>174885</x:v>
      </x:c>
      <x:c r="F63" s="24" t="n">
        <x:f>IF('Setup'!$B$22&gt;0,"",D63+E63)</x:f>
        <x:v>188685</x:v>
      </x:c>
      <x:c r="G63" s="24" t="n">
        <x:f>IF('Setup'!$B$22&gt;0,"",'Capacity'!N66*C63)</x:f>
        <x:v>9531</x:v>
      </x:c>
      <x:c r="H63" s="24" t="n">
        <x:f>IF('Setup'!$B$22&gt;0,"",'Capacity'!N67*C63)</x:f>
        <x:v>8986</x:v>
      </x:c>
      <x:c r="I63" s="24" t="n">
        <x:f>IF('Setup'!$B$22&gt;0,"",'Capacity'!N68*C63)</x:f>
        <x:v>8000</x:v>
      </x:c>
      <x:c r="J63" s="24" t="n">
        <x:f>IF('Setup'!$B$22&gt;0,"",MIN(G63:I63))</x:f>
        <x:v>8000</x:v>
      </x:c>
      <x:c r="K63" s="24" t="n">
        <x:f>IF('Setup'!$B$22&gt;0,"",MIN(F63,J63))</x:f>
        <x:v>8000</x:v>
      </x:c>
      <x:c r="L63" s="24" t="n">
        <x:f>IF('Setup'!$B$22&gt;0,"",MAX(0,F63-K63))</x:f>
        <x:v>180685</x:v>
      </x:c>
      <x:c r="M63" s="23" t="n">
        <x:f>IF('Setup'!$B$22&gt;0,"",IF(J63=0,0,K63/J63))</x:f>
        <x:v>1</x:v>
      </x:c>
      <x:c r="N63" s="25" t="n">
        <x:f>IF('Setup'!$B$22&gt;0,"",SUM('Capacity'!Z66:Z68)*C63)</x:f>
        <x:v>13442.12</x:v>
      </x:c>
      <x:c r="O63" s="25" t="n">
        <x:f>IF('Setup'!$B$22&gt;0,"",SUM('Capacity'!Q66:Q68)*C63)</x:f>
        <x:v>4109.639999999999</x:v>
      </x:c>
      <x:c r="P63" s="1" t="str">
        <x:f>IF('Setup'!$B$22&gt;0,"",IF(C63=0,"Closed",INDEX('Processes'!$A$6:$A$8,MATCH(J63,G63:I63,0))))</x:f>
        <x:v>Ship</x:v>
      </x:c>
      <x:c r="Q63" s="1" t="n">
        <x:f>IF('Setup'!$B$22&gt;0,"",IF(C63=0,0,MAX(0,ROUNDUP(F63/'Capacity'!X66-'Capacity'!Y66,0)-'Capacity'!G66)))</x:f>
        <x:v>527</x:v>
      </x:c>
      <x:c r="R63" s="1" t="n">
        <x:f>IF('Setup'!$B$22&gt;0,"",IF(C63=0,0,MAX(0,ROUNDUP(F63/'Capacity'!X67-'Capacity'!Y67,0)-'Capacity'!G67)))</x:f>
        <x:v>440</x:v>
      </x:c>
      <x:c r="S63" s="1" t="n">
        <x:f>IF('Setup'!$B$22&gt;0,"",IF(C63=0,0,MAX(0,ROUNDUP(F63/'Capacity'!X68-'Capacity'!Y68,0)-'Capacity'!G68)))</x:f>
        <x:v>265</x:v>
      </x:c>
      <x:c r="T63" s="1" t="str">
        <x:f>IF('Setup'!$B$22&gt;0,"",IF(C63=0,IF(L63&gt;'Setup'!$B$7,"Backlog on closed day","Closed"),IF(OR(V63&gt;0,W63&gt;0),"Resolve staffing limits",IF(U63&gt;0,"Resolve physical limit",IF(L63&gt;'Setup'!$B$7,"Close labor capacity gap",IF(L63&gt;0,"Backlog below threshold","Within daily capacity"))))))</x:f>
        <x:v>Resolve physical limit</x:v>
      </x:c>
      <x:c r="U63" s="1" t="n">
        <x:f>IF('Setup'!$B$22&gt;0,"",IF(C63=0,0,MAX(0,F63-INT(MIN('Capacity'!M66:M68)))))</x:f>
        <x:v>180685</x:v>
      </x:c>
      <x:c r="V63" s="1" t="n">
        <x:f>IF('Setup'!$B$22&gt;0,"",SUM('Capacity'!T66:T68)*C63)</x:f>
        <x:v>0</x:v>
      </x:c>
      <x:c r="W63" s="1" t="n">
        <x:f>IF('Setup'!$B$22&gt;0,"",SUM('Capacity'!W66:W68)*C63)</x:f>
        <x:v>0</x:v>
      </x:c>
    </x:row>
    <x:row r="64" ht="23" customHeight="1">
      <x:c r="A64" s="20" t="n">
        <x:f>IF('Setup'!$B$22&gt;0,"",'Demand'!A64)</x:f>
        <x:v>46358</x:v>
      </x:c>
      <x:c r="B64" s="1" t="n">
        <x:f>IF('Setup'!$B$22&gt;0,"",'Demand'!B64)</x:f>
        <x:v>9</x:v>
      </x:c>
      <x:c r="C64" s="1" t="n">
        <x:f>IF('Setup'!$B$22&gt;0,"",'Demand'!C64)</x:f>
        <x:v>1</x:v>
      </x:c>
      <x:c r="D64" s="24" t="n">
        <x:f>IF('Setup'!$B$22&gt;0,"",ROUND('Demand'!D64*'Setup'!B18,0))</x:f>
        <x:v>13800</x:v>
      </x:c>
      <x:c r="E64" s="24" t="n">
        <x:f>IF('Setup'!$B$22&gt;0,"",L63)</x:f>
        <x:v>180685</x:v>
      </x:c>
      <x:c r="F64" s="24" t="n">
        <x:f>IF('Setup'!$B$22&gt;0,"",D64+E64)</x:f>
        <x:v>194485</x:v>
      </x:c>
      <x:c r="G64" s="24" t="n">
        <x:f>IF('Setup'!$B$22&gt;0,"",'Capacity'!N66*C64)</x:f>
        <x:v>9531</x:v>
      </x:c>
      <x:c r="H64" s="24" t="n">
        <x:f>IF('Setup'!$B$22&gt;0,"",'Capacity'!N67*C64)</x:f>
        <x:v>8986</x:v>
      </x:c>
      <x:c r="I64" s="24" t="n">
        <x:f>IF('Setup'!$B$22&gt;0,"",'Capacity'!N68*C64)</x:f>
        <x:v>8000</x:v>
      </x:c>
      <x:c r="J64" s="24" t="n">
        <x:f>IF('Setup'!$B$22&gt;0,"",MIN(G64:I64))</x:f>
        <x:v>8000</x:v>
      </x:c>
      <x:c r="K64" s="24" t="n">
        <x:f>IF('Setup'!$B$22&gt;0,"",MIN(F64,J64))</x:f>
        <x:v>8000</x:v>
      </x:c>
      <x:c r="L64" s="24" t="n">
        <x:f>IF('Setup'!$B$22&gt;0,"",MAX(0,F64-K64))</x:f>
        <x:v>186485</x:v>
      </x:c>
      <x:c r="M64" s="23" t="n">
        <x:f>IF('Setup'!$B$22&gt;0,"",IF(J64=0,0,K64/J64))</x:f>
        <x:v>1</x:v>
      </x:c>
      <x:c r="N64" s="25" t="n">
        <x:f>IF('Setup'!$B$22&gt;0,"",SUM('Capacity'!Z66:Z68)*C64)</x:f>
        <x:v>13442.12</x:v>
      </x:c>
      <x:c r="O64" s="25" t="n">
        <x:f>IF('Setup'!$B$22&gt;0,"",SUM('Capacity'!Q66:Q68)*C64)</x:f>
        <x:v>4109.639999999999</x:v>
      </x:c>
      <x:c r="P64" s="1" t="str">
        <x:f>IF('Setup'!$B$22&gt;0,"",IF(C64=0,"Closed",INDEX('Processes'!$A$6:$A$8,MATCH(J64,G64:I64,0))))</x:f>
        <x:v>Ship</x:v>
      </x:c>
      <x:c r="Q64" s="1" t="n">
        <x:f>IF('Setup'!$B$22&gt;0,"",IF(C64=0,0,MAX(0,ROUNDUP(F64/'Capacity'!X66-'Capacity'!Y66,0)-'Capacity'!G66)))</x:f>
        <x:v>544</x:v>
      </x:c>
      <x:c r="R64" s="1" t="n">
        <x:f>IF('Setup'!$B$22&gt;0,"",IF(C64=0,0,MAX(0,ROUNDUP(F64/'Capacity'!X67-'Capacity'!Y67,0)-'Capacity'!G67)))</x:f>
        <x:v>455</x:v>
      </x:c>
      <x:c r="S64" s="1" t="n">
        <x:f>IF('Setup'!$B$22&gt;0,"",IF(C64=0,0,MAX(0,ROUNDUP(F64/'Capacity'!X68-'Capacity'!Y68,0)-'Capacity'!G68)))</x:f>
        <x:v>273</x:v>
      </x:c>
      <x:c r="T64" s="1" t="str">
        <x:f>IF('Setup'!$B$22&gt;0,"",IF(C64=0,IF(L64&gt;'Setup'!$B$7,"Backlog on closed day","Closed"),IF(OR(V64&gt;0,W64&gt;0),"Resolve staffing limits",IF(U64&gt;0,"Resolve physical limit",IF(L64&gt;'Setup'!$B$7,"Close labor capacity gap",IF(L64&gt;0,"Backlog below threshold","Within daily capacity"))))))</x:f>
        <x:v>Resolve physical limit</x:v>
      </x:c>
      <x:c r="U64" s="1" t="n">
        <x:f>IF('Setup'!$B$22&gt;0,"",IF(C64=0,0,MAX(0,F64-INT(MIN('Capacity'!M66:M68)))))</x:f>
        <x:v>186485</x:v>
      </x:c>
      <x:c r="V64" s="1" t="n">
        <x:f>IF('Setup'!$B$22&gt;0,"",SUM('Capacity'!T66:T68)*C64)</x:f>
        <x:v>0</x:v>
      </x:c>
      <x:c r="W64" s="1" t="n">
        <x:f>IF('Setup'!$B$22&gt;0,"",SUM('Capacity'!W66:W68)*C64)</x:f>
        <x:v>0</x:v>
      </x:c>
    </x:row>
    <x:row r="65" ht="23" customHeight="1">
      <x:c r="A65" s="20" t="n">
        <x:f>IF('Setup'!$B$22&gt;0,"",'Demand'!A65)</x:f>
        <x:v>46359</x:v>
      </x:c>
      <x:c r="B65" s="1" t="n">
        <x:f>IF('Setup'!$B$22&gt;0,"",'Demand'!B65)</x:f>
        <x:v>9</x:v>
      </x:c>
      <x:c r="C65" s="1" t="n">
        <x:f>IF('Setup'!$B$22&gt;0,"",'Demand'!C65)</x:f>
        <x:v>1</x:v>
      </x:c>
      <x:c r="D65" s="24" t="n">
        <x:f>IF('Setup'!$B$22&gt;0,"",ROUND('Demand'!D65*'Setup'!B18,0))</x:f>
        <x:v>13800</x:v>
      </x:c>
      <x:c r="E65" s="24" t="n">
        <x:f>IF('Setup'!$B$22&gt;0,"",L64)</x:f>
        <x:v>186485</x:v>
      </x:c>
      <x:c r="F65" s="24" t="n">
        <x:f>IF('Setup'!$B$22&gt;0,"",D65+E65)</x:f>
        <x:v>200285</x:v>
      </x:c>
      <x:c r="G65" s="24" t="n">
        <x:f>IF('Setup'!$B$22&gt;0,"",'Capacity'!N66*C65)</x:f>
        <x:v>9531</x:v>
      </x:c>
      <x:c r="H65" s="24" t="n">
        <x:f>IF('Setup'!$B$22&gt;0,"",'Capacity'!N67*C65)</x:f>
        <x:v>8986</x:v>
      </x:c>
      <x:c r="I65" s="24" t="n">
        <x:f>IF('Setup'!$B$22&gt;0,"",'Capacity'!N68*C65)</x:f>
        <x:v>8000</x:v>
      </x:c>
      <x:c r="J65" s="24" t="n">
        <x:f>IF('Setup'!$B$22&gt;0,"",MIN(G65:I65))</x:f>
        <x:v>8000</x:v>
      </x:c>
      <x:c r="K65" s="24" t="n">
        <x:f>IF('Setup'!$B$22&gt;0,"",MIN(F65,J65))</x:f>
        <x:v>8000</x:v>
      </x:c>
      <x:c r="L65" s="24" t="n">
        <x:f>IF('Setup'!$B$22&gt;0,"",MAX(0,F65-K65))</x:f>
        <x:v>192285</x:v>
      </x:c>
      <x:c r="M65" s="23" t="n">
        <x:f>IF('Setup'!$B$22&gt;0,"",IF(J65=0,0,K65/J65))</x:f>
        <x:v>1</x:v>
      </x:c>
      <x:c r="N65" s="25" t="n">
        <x:f>IF('Setup'!$B$22&gt;0,"",SUM('Capacity'!Z66:Z68)*C65)</x:f>
        <x:v>13442.12</x:v>
      </x:c>
      <x:c r="O65" s="25" t="n">
        <x:f>IF('Setup'!$B$22&gt;0,"",SUM('Capacity'!Q66:Q68)*C65)</x:f>
        <x:v>4109.639999999999</x:v>
      </x:c>
      <x:c r="P65" s="1" t="str">
        <x:f>IF('Setup'!$B$22&gt;0,"",IF(C65=0,"Closed",INDEX('Processes'!$A$6:$A$8,MATCH(J65,G65:I65,0))))</x:f>
        <x:v>Ship</x:v>
      </x:c>
      <x:c r="Q65" s="1" t="n">
        <x:f>IF('Setup'!$B$22&gt;0,"",IF(C65=0,0,MAX(0,ROUNDUP(F65/'Capacity'!X66-'Capacity'!Y66,0)-'Capacity'!G66)))</x:f>
        <x:v>561</x:v>
      </x:c>
      <x:c r="R65" s="1" t="n">
        <x:f>IF('Setup'!$B$22&gt;0,"",IF(C65=0,0,MAX(0,ROUNDUP(F65/'Capacity'!X67-'Capacity'!Y67,0)-'Capacity'!G67)))</x:f>
        <x:v>469</x:v>
      </x:c>
      <x:c r="S65" s="1" t="n">
        <x:f>IF('Setup'!$B$22&gt;0,"",IF(C65=0,0,MAX(0,ROUNDUP(F65/'Capacity'!X68-'Capacity'!Y68,0)-'Capacity'!G68)))</x:f>
        <x:v>282</x:v>
      </x:c>
      <x:c r="T65" s="1" t="str">
        <x:f>IF('Setup'!$B$22&gt;0,"",IF(C65=0,IF(L65&gt;'Setup'!$B$7,"Backlog on closed day","Closed"),IF(OR(V65&gt;0,W65&gt;0),"Resolve staffing limits",IF(U65&gt;0,"Resolve physical limit",IF(L65&gt;'Setup'!$B$7,"Close labor capacity gap",IF(L65&gt;0,"Backlog below threshold","Within daily capacity"))))))</x:f>
        <x:v>Resolve physical limit</x:v>
      </x:c>
      <x:c r="U65" s="1" t="n">
        <x:f>IF('Setup'!$B$22&gt;0,"",IF(C65=0,0,MAX(0,F65-INT(MIN('Capacity'!M66:M68)))))</x:f>
        <x:v>192285</x:v>
      </x:c>
      <x:c r="V65" s="1" t="n">
        <x:f>IF('Setup'!$B$22&gt;0,"",SUM('Capacity'!T66:T68)*C65)</x:f>
        <x:v>0</x:v>
      </x:c>
      <x:c r="W65" s="1" t="n">
        <x:f>IF('Setup'!$B$22&gt;0,"",SUM('Capacity'!W66:W68)*C65)</x:f>
        <x:v>0</x:v>
      </x:c>
    </x:row>
    <x:row r="66" ht="23" customHeight="1">
      <x:c r="A66" s="20" t="n">
        <x:f>IF('Setup'!$B$22&gt;0,"",'Demand'!A66)</x:f>
        <x:v>46360</x:v>
      </x:c>
      <x:c r="B66" s="1" t="n">
        <x:f>IF('Setup'!$B$22&gt;0,"",'Demand'!B66)</x:f>
        <x:v>9</x:v>
      </x:c>
      <x:c r="C66" s="1" t="n">
        <x:f>IF('Setup'!$B$22&gt;0,"",'Demand'!C66)</x:f>
        <x:v>1</x:v>
      </x:c>
      <x:c r="D66" s="24" t="n">
        <x:f>IF('Setup'!$B$22&gt;0,"",ROUND('Demand'!D66*'Setup'!B18,0))</x:f>
        <x:v>13800</x:v>
      </x:c>
      <x:c r="E66" s="24" t="n">
        <x:f>IF('Setup'!$B$22&gt;0,"",L65)</x:f>
        <x:v>192285</x:v>
      </x:c>
      <x:c r="F66" s="24" t="n">
        <x:f>IF('Setup'!$B$22&gt;0,"",D66+E66)</x:f>
        <x:v>206085</x:v>
      </x:c>
      <x:c r="G66" s="24" t="n">
        <x:f>IF('Setup'!$B$22&gt;0,"",'Capacity'!N66*C66)</x:f>
        <x:v>9531</x:v>
      </x:c>
      <x:c r="H66" s="24" t="n">
        <x:f>IF('Setup'!$B$22&gt;0,"",'Capacity'!N67*C66)</x:f>
        <x:v>8986</x:v>
      </x:c>
      <x:c r="I66" s="24" t="n">
        <x:f>IF('Setup'!$B$22&gt;0,"",'Capacity'!N68*C66)</x:f>
        <x:v>8000</x:v>
      </x:c>
      <x:c r="J66" s="24" t="n">
        <x:f>IF('Setup'!$B$22&gt;0,"",MIN(G66:I66))</x:f>
        <x:v>8000</x:v>
      </x:c>
      <x:c r="K66" s="24" t="n">
        <x:f>IF('Setup'!$B$22&gt;0,"",MIN(F66,J66))</x:f>
        <x:v>8000</x:v>
      </x:c>
      <x:c r="L66" s="24" t="n">
        <x:f>IF('Setup'!$B$22&gt;0,"",MAX(0,F66-K66))</x:f>
        <x:v>198085</x:v>
      </x:c>
      <x:c r="M66" s="23" t="n">
        <x:f>IF('Setup'!$B$22&gt;0,"",IF(J66=0,0,K66/J66))</x:f>
        <x:v>1</x:v>
      </x:c>
      <x:c r="N66" s="25" t="n">
        <x:f>IF('Setup'!$B$22&gt;0,"",SUM('Capacity'!Z66:Z68)*C66)</x:f>
        <x:v>13442.12</x:v>
      </x:c>
      <x:c r="O66" s="25" t="n">
        <x:f>IF('Setup'!$B$22&gt;0,"",SUM('Capacity'!Q66:Q68)*C66)</x:f>
        <x:v>4109.639999999999</x:v>
      </x:c>
      <x:c r="P66" s="1" t="str">
        <x:f>IF('Setup'!$B$22&gt;0,"",IF(C66=0,"Closed",INDEX('Processes'!$A$6:$A$8,MATCH(J66,G66:I66,0))))</x:f>
        <x:v>Ship</x:v>
      </x:c>
      <x:c r="Q66" s="1" t="n">
        <x:f>IF('Setup'!$B$22&gt;0,"",IF(C66=0,0,MAX(0,ROUNDUP(F66/'Capacity'!X66-'Capacity'!Y66,0)-'Capacity'!G66)))</x:f>
        <x:v>578</x:v>
      </x:c>
      <x:c r="R66" s="1" t="n">
        <x:f>IF('Setup'!$B$22&gt;0,"",IF(C66=0,0,MAX(0,ROUNDUP(F66/'Capacity'!X67-'Capacity'!Y67,0)-'Capacity'!G67)))</x:f>
        <x:v>483</x:v>
      </x:c>
      <x:c r="S66" s="1" t="n">
        <x:f>IF('Setup'!$B$22&gt;0,"",IF(C66=0,0,MAX(0,ROUNDUP(F66/'Capacity'!X68-'Capacity'!Y68,0)-'Capacity'!G68)))</x:f>
        <x:v>290</x:v>
      </x:c>
      <x:c r="T66" s="1" t="str">
        <x:f>IF('Setup'!$B$22&gt;0,"",IF(C66=0,IF(L66&gt;'Setup'!$B$7,"Backlog on closed day","Closed"),IF(OR(V66&gt;0,W66&gt;0),"Resolve staffing limits",IF(U66&gt;0,"Resolve physical limit",IF(L66&gt;'Setup'!$B$7,"Close labor capacity gap",IF(L66&gt;0,"Backlog below threshold","Within daily capacity"))))))</x:f>
        <x:v>Resolve physical limit</x:v>
      </x:c>
      <x:c r="U66" s="1" t="n">
        <x:f>IF('Setup'!$B$22&gt;0,"",IF(C66=0,0,MAX(0,F66-INT(MIN('Capacity'!M66:M68)))))</x:f>
        <x:v>198085</x:v>
      </x:c>
      <x:c r="V66" s="1" t="n">
        <x:f>IF('Setup'!$B$22&gt;0,"",SUM('Capacity'!T66:T68)*C66)</x:f>
        <x:v>0</x:v>
      </x:c>
      <x:c r="W66" s="1" t="n">
        <x:f>IF('Setup'!$B$22&gt;0,"",SUM('Capacity'!W66:W68)*C66)</x:f>
        <x:v>0</x:v>
      </x:c>
    </x:row>
    <x:row r="67" ht="23" customHeight="1">
      <x:c r="A67" s="20" t="n">
        <x:f>IF('Setup'!$B$22&gt;0,"",'Demand'!A67)</x:f>
        <x:v>46361</x:v>
      </x:c>
      <x:c r="B67" s="1" t="n">
        <x:f>IF('Setup'!$B$22&gt;0,"",'Demand'!B67)</x:f>
        <x:v>9</x:v>
      </x:c>
      <x:c r="C67" s="1" t="n">
        <x:f>IF('Setup'!$B$22&gt;0,"",'Demand'!C67)</x:f>
        <x:v>0</x:v>
      </x:c>
      <x:c r="D67" s="24" t="n">
        <x:f>IF('Setup'!$B$22&gt;0,"",ROUND('Demand'!D67*'Setup'!B18,0))</x:f>
        <x:v>0</x:v>
      </x:c>
      <x:c r="E67" s="24" t="n">
        <x:f>IF('Setup'!$B$22&gt;0,"",L66)</x:f>
        <x:v>198085</x:v>
      </x:c>
      <x:c r="F67" s="24" t="n">
        <x:f>IF('Setup'!$B$22&gt;0,"",D67+E67)</x:f>
        <x:v>198085</x:v>
      </x:c>
      <x:c r="G67" s="24" t="n">
        <x:f>IF('Setup'!$B$22&gt;0,"",'Capacity'!N66*C67)</x:f>
        <x:v>0</x:v>
      </x:c>
      <x:c r="H67" s="24" t="n">
        <x:f>IF('Setup'!$B$22&gt;0,"",'Capacity'!N67*C67)</x:f>
        <x:v>0</x:v>
      </x:c>
      <x:c r="I67" s="24" t="n">
        <x:f>IF('Setup'!$B$22&gt;0,"",'Capacity'!N68*C67)</x:f>
        <x:v>0</x:v>
      </x:c>
      <x:c r="J67" s="24" t="n">
        <x:f>IF('Setup'!$B$22&gt;0,"",MIN(G67:I67))</x:f>
        <x:v>0</x:v>
      </x:c>
      <x:c r="K67" s="24" t="n">
        <x:f>IF('Setup'!$B$22&gt;0,"",MIN(F67,J67))</x:f>
        <x:v>0</x:v>
      </x:c>
      <x:c r="L67" s="24" t="n">
        <x:f>IF('Setup'!$B$22&gt;0,"",MAX(0,F67-K67))</x:f>
        <x:v>198085</x:v>
      </x:c>
      <x:c r="M67" s="23" t="n">
        <x:f>IF('Setup'!$B$22&gt;0,"",IF(J67=0,0,K67/J67))</x:f>
        <x:v>0</x:v>
      </x:c>
      <x:c r="N67" s="25" t="n">
        <x:f>IF('Setup'!$B$22&gt;0,"",SUM('Capacity'!Z66:Z68)*C67)</x:f>
        <x:v>0</x:v>
      </x:c>
      <x:c r="O67" s="25" t="n">
        <x:f>IF('Setup'!$B$22&gt;0,"",SUM('Capacity'!Q66:Q68)*C67)</x:f>
        <x:v>0</x:v>
      </x:c>
      <x:c r="P67" s="1" t="str">
        <x:f>IF('Setup'!$B$22&gt;0,"",IF(C67=0,"Closed",INDEX('Processes'!$A$6:$A$8,MATCH(J67,G67:I67,0))))</x:f>
        <x:v>Closed</x:v>
      </x:c>
      <x:c r="Q67" s="1" t="n">
        <x:f>IF('Setup'!$B$22&gt;0,"",IF(C67=0,0,MAX(0,ROUNDUP(F67/'Capacity'!X66-'Capacity'!Y66,0)-'Capacity'!G66)))</x:f>
        <x:v>0</x:v>
      </x:c>
      <x:c r="R67" s="1" t="n">
        <x:f>IF('Setup'!$B$22&gt;0,"",IF(C67=0,0,MAX(0,ROUNDUP(F67/'Capacity'!X67-'Capacity'!Y67,0)-'Capacity'!G67)))</x:f>
        <x:v>0</x:v>
      </x:c>
      <x:c r="S67" s="1" t="n">
        <x:f>IF('Setup'!$B$22&gt;0,"",IF(C67=0,0,MAX(0,ROUNDUP(F67/'Capacity'!X68-'Capacity'!Y68,0)-'Capacity'!G68)))</x:f>
        <x:v>0</x:v>
      </x:c>
      <x:c r="T67" s="1" t="str">
        <x:f>IF('Setup'!$B$22&gt;0,"",IF(C67=0,IF(L67&gt;'Setup'!$B$7,"Backlog on closed day","Closed"),IF(OR(V67&gt;0,W67&gt;0),"Resolve staffing limits",IF(U67&gt;0,"Resolve physical limit",IF(L67&gt;'Setup'!$B$7,"Close labor capacity gap",IF(L67&gt;0,"Backlog below threshold","Within daily capacity"))))))</x:f>
        <x:v>Backlog on closed day</x:v>
      </x:c>
      <x:c r="U67" s="1" t="n">
        <x:f>IF('Setup'!$B$22&gt;0,"",IF(C67=0,0,MAX(0,F67-INT(MIN('Capacity'!M66:M68)))))</x:f>
        <x:v>0</x:v>
      </x:c>
      <x:c r="V67" s="1" t="n">
        <x:f>IF('Setup'!$B$22&gt;0,"",SUM('Capacity'!T66:T68)*C67)</x:f>
        <x:v>0</x:v>
      </x:c>
      <x:c r="W67" s="1" t="n">
        <x:f>IF('Setup'!$B$22&gt;0,"",SUM('Capacity'!W66:W68)*C67)</x:f>
        <x:v>0</x:v>
      </x:c>
    </x:row>
    <x:row r="68" ht="23" customHeight="1">
      <x:c r="A68" s="20" t="n">
        <x:f>IF('Setup'!$B$22&gt;0,"",'Demand'!A68)</x:f>
        <x:v>46362</x:v>
      </x:c>
      <x:c r="B68" s="1" t="n">
        <x:f>IF('Setup'!$B$22&gt;0,"",'Demand'!B68)</x:f>
        <x:v>9</x:v>
      </x:c>
      <x:c r="C68" s="1" t="n">
        <x:f>IF('Setup'!$B$22&gt;0,"",'Demand'!C68)</x:f>
        <x:v>0</x:v>
      </x:c>
      <x:c r="D68" s="24" t="n">
        <x:f>IF('Setup'!$B$22&gt;0,"",ROUND('Demand'!D68*'Setup'!B18,0))</x:f>
        <x:v>0</x:v>
      </x:c>
      <x:c r="E68" s="24" t="n">
        <x:f>IF('Setup'!$B$22&gt;0,"",L67)</x:f>
        <x:v>198085</x:v>
      </x:c>
      <x:c r="F68" s="24" t="n">
        <x:f>IF('Setup'!$B$22&gt;0,"",D68+E68)</x:f>
        <x:v>198085</x:v>
      </x:c>
      <x:c r="G68" s="24" t="n">
        <x:f>IF('Setup'!$B$22&gt;0,"",'Capacity'!N66*C68)</x:f>
        <x:v>0</x:v>
      </x:c>
      <x:c r="H68" s="24" t="n">
        <x:f>IF('Setup'!$B$22&gt;0,"",'Capacity'!N67*C68)</x:f>
        <x:v>0</x:v>
      </x:c>
      <x:c r="I68" s="24" t="n">
        <x:f>IF('Setup'!$B$22&gt;0,"",'Capacity'!N68*C68)</x:f>
        <x:v>0</x:v>
      </x:c>
      <x:c r="J68" s="24" t="n">
        <x:f>IF('Setup'!$B$22&gt;0,"",MIN(G68:I68))</x:f>
        <x:v>0</x:v>
      </x:c>
      <x:c r="K68" s="24" t="n">
        <x:f>IF('Setup'!$B$22&gt;0,"",MIN(F68,J68))</x:f>
        <x:v>0</x:v>
      </x:c>
      <x:c r="L68" s="24" t="n">
        <x:f>IF('Setup'!$B$22&gt;0,"",MAX(0,F68-K68))</x:f>
        <x:v>198085</x:v>
      </x:c>
      <x:c r="M68" s="23" t="n">
        <x:f>IF('Setup'!$B$22&gt;0,"",IF(J68=0,0,K68/J68))</x:f>
        <x:v>0</x:v>
      </x:c>
      <x:c r="N68" s="25" t="n">
        <x:f>IF('Setup'!$B$22&gt;0,"",SUM('Capacity'!Z66:Z68)*C68)</x:f>
        <x:v>0</x:v>
      </x:c>
      <x:c r="O68" s="25" t="n">
        <x:f>IF('Setup'!$B$22&gt;0,"",SUM('Capacity'!Q66:Q68)*C68)</x:f>
        <x:v>0</x:v>
      </x:c>
      <x:c r="P68" s="1" t="str">
        <x:f>IF('Setup'!$B$22&gt;0,"",IF(C68=0,"Closed",INDEX('Processes'!$A$6:$A$8,MATCH(J68,G68:I68,0))))</x:f>
        <x:v>Closed</x:v>
      </x:c>
      <x:c r="Q68" s="1" t="n">
        <x:f>IF('Setup'!$B$22&gt;0,"",IF(C68=0,0,MAX(0,ROUNDUP(F68/'Capacity'!X66-'Capacity'!Y66,0)-'Capacity'!G66)))</x:f>
        <x:v>0</x:v>
      </x:c>
      <x:c r="R68" s="1" t="n">
        <x:f>IF('Setup'!$B$22&gt;0,"",IF(C68=0,0,MAX(0,ROUNDUP(F68/'Capacity'!X67-'Capacity'!Y67,0)-'Capacity'!G67)))</x:f>
        <x:v>0</x:v>
      </x:c>
      <x:c r="S68" s="1" t="n">
        <x:f>IF('Setup'!$B$22&gt;0,"",IF(C68=0,0,MAX(0,ROUNDUP(F68/'Capacity'!X68-'Capacity'!Y68,0)-'Capacity'!G68)))</x:f>
        <x:v>0</x:v>
      </x:c>
      <x:c r="T68" s="1" t="str">
        <x:f>IF('Setup'!$B$22&gt;0,"",IF(C68=0,IF(L68&gt;'Setup'!$B$7,"Backlog on closed day","Closed"),IF(OR(V68&gt;0,W68&gt;0),"Resolve staffing limits",IF(U68&gt;0,"Resolve physical limit",IF(L68&gt;'Setup'!$B$7,"Close labor capacity gap",IF(L68&gt;0,"Backlog below threshold","Within daily capacity"))))))</x:f>
        <x:v>Backlog on closed day</x:v>
      </x:c>
      <x:c r="U68" s="1" t="n">
        <x:f>IF('Setup'!$B$22&gt;0,"",IF(C68=0,0,MAX(0,F68-INT(MIN('Capacity'!M66:M68)))))</x:f>
        <x:v>0</x:v>
      </x:c>
      <x:c r="V68" s="1" t="n">
        <x:f>IF('Setup'!$B$22&gt;0,"",SUM('Capacity'!T66:T68)*C68)</x:f>
        <x:v>0</x:v>
      </x:c>
      <x:c r="W68" s="1" t="n">
        <x:f>IF('Setup'!$B$22&gt;0,"",SUM('Capacity'!W66:W68)*C68)</x:f>
        <x:v>0</x:v>
      </x:c>
    </x:row>
    <x:row r="69" ht="23" customHeight="1">
      <x:c r="A69" s="20" t="n">
        <x:f>IF('Setup'!$B$22&gt;0,"",'Demand'!A69)</x:f>
        <x:v>46363</x:v>
      </x:c>
      <x:c r="B69" s="1" t="n">
        <x:f>IF('Setup'!$B$22&gt;0,"",'Demand'!B69)</x:f>
        <x:v>10</x:v>
      </x:c>
      <x:c r="C69" s="1" t="n">
        <x:f>IF('Setup'!$B$22&gt;0,"",'Demand'!C69)</x:f>
        <x:v>1</x:v>
      </x:c>
      <x:c r="D69" s="24" t="n">
        <x:f>IF('Setup'!$B$22&gt;0,"",ROUND('Demand'!D69*'Setup'!B18,0))</x:f>
        <x:v>12000</x:v>
      </x:c>
      <x:c r="E69" s="24" t="n">
        <x:f>IF('Setup'!$B$22&gt;0,"",L68)</x:f>
        <x:v>198085</x:v>
      </x:c>
      <x:c r="F69" s="24" t="n">
        <x:f>IF('Setup'!$B$22&gt;0,"",D69+E69)</x:f>
        <x:v>210085</x:v>
      </x:c>
      <x:c r="G69" s="24" t="n">
        <x:f>IF('Setup'!$B$22&gt;0,"",'Capacity'!N69*C69)</x:f>
        <x:v>8372</x:v>
      </x:c>
      <x:c r="H69" s="24" t="n">
        <x:f>IF('Setup'!$B$22&gt;0,"",'Capacity'!N70*C69)</x:f>
        <x:v>7893</x:v>
      </x:c>
      <x:c r="I69" s="24" t="n">
        <x:f>IF('Setup'!$B$22&gt;0,"",'Capacity'!N71*C69)</x:f>
        <x:v>7774</x:v>
      </x:c>
      <x:c r="J69" s="24" t="n">
        <x:f>IF('Setup'!$B$22&gt;0,"",MIN(G69:I69))</x:f>
        <x:v>7774</x:v>
      </x:c>
      <x:c r="K69" s="24" t="n">
        <x:f>IF('Setup'!$B$22&gt;0,"",MIN(F69,J69))</x:f>
        <x:v>7774</x:v>
      </x:c>
      <x:c r="L69" s="24" t="n">
        <x:f>IF('Setup'!$B$22&gt;0,"",MAX(0,F69-K69))</x:f>
        <x:v>202311</x:v>
      </x:c>
      <x:c r="M69" s="23" t="n">
        <x:f>IF('Setup'!$B$22&gt;0,"",IF(J69=0,0,K69/J69))</x:f>
        <x:v>1</x:v>
      </x:c>
      <x:c r="N69" s="25" t="n">
        <x:f>IF('Setup'!$B$22&gt;0,"",SUM('Capacity'!Z69:Z71)*C69)</x:f>
        <x:v>11319.68</x:v>
      </x:c>
      <x:c r="O69" s="25" t="n">
        <x:f>IF('Setup'!$B$22&gt;0,"",SUM('Capacity'!Q69:Q71)*C69)</x:f>
        <x:v>1987.1999999999996</x:v>
      </x:c>
      <x:c r="P69" s="1" t="str">
        <x:f>IF('Setup'!$B$22&gt;0,"",IF(C69=0,"Closed",INDEX('Processes'!$A$6:$A$8,MATCH(J69,G69:I69,0))))</x:f>
        <x:v>Ship</x:v>
      </x:c>
      <x:c r="Q69" s="1" t="n">
        <x:f>IF('Setup'!$B$22&gt;0,"",IF(C69=0,0,MAX(0,ROUNDUP(F69/'Capacity'!X69-'Capacity'!Y69,0)-'Capacity'!G69)))</x:f>
        <x:v>675</x:v>
      </x:c>
      <x:c r="R69" s="1" t="n">
        <x:f>IF('Setup'!$B$22&gt;0,"",IF(C69=0,0,MAX(0,ROUNDUP(F69/'Capacity'!X70-'Capacity'!Y70,0)-'Capacity'!G70)))</x:f>
        <x:v>564</x:v>
      </x:c>
      <x:c r="S69" s="1" t="n">
        <x:f>IF('Setup'!$B$22&gt;0,"",IF(C69=0,0,MAX(0,ROUNDUP(F69/'Capacity'!X71-'Capacity'!Y71,0)-'Capacity'!G71)))</x:f>
        <x:v>339</x:v>
      </x:c>
      <x:c r="T69" s="1" t="str">
        <x:f>IF('Setup'!$B$22&gt;0,"",IF(C69=0,IF(L69&gt;'Setup'!$B$7,"Backlog on closed day","Closed"),IF(OR(V69&gt;0,W69&gt;0),"Resolve staffing limits",IF(U69&gt;0,"Resolve physical limit",IF(L69&gt;'Setup'!$B$7,"Close labor capacity gap",IF(L69&gt;0,"Backlog below threshold","Within daily capacity"))))))</x:f>
        <x:v>Resolve physical limit</x:v>
      </x:c>
      <x:c r="U69" s="1" t="n">
        <x:f>IF('Setup'!$B$22&gt;0,"",IF(C69=0,0,MAX(0,F69-INT(MIN('Capacity'!M69:M71)))))</x:f>
        <x:v>202085</x:v>
      </x:c>
      <x:c r="V69" s="1" t="n">
        <x:f>IF('Setup'!$B$22&gt;0,"",SUM('Capacity'!T69:T71)*C69)</x:f>
        <x:v>0</x:v>
      </x:c>
      <x:c r="W69" s="1" t="n">
        <x:f>IF('Setup'!$B$22&gt;0,"",SUM('Capacity'!W69:W71)*C69)</x:f>
        <x:v>0</x:v>
      </x:c>
    </x:row>
    <x:row r="70" ht="23" customHeight="1">
      <x:c r="A70" s="20" t="n">
        <x:f>IF('Setup'!$B$22&gt;0,"",'Demand'!A70)</x:f>
        <x:v>46364</x:v>
      </x:c>
      <x:c r="B70" s="1" t="n">
        <x:f>IF('Setup'!$B$22&gt;0,"",'Demand'!B70)</x:f>
        <x:v>10</x:v>
      </x:c>
      <x:c r="C70" s="1" t="n">
        <x:f>IF('Setup'!$B$22&gt;0,"",'Demand'!C70)</x:f>
        <x:v>1</x:v>
      </x:c>
      <x:c r="D70" s="24" t="n">
        <x:f>IF('Setup'!$B$22&gt;0,"",ROUND('Demand'!D70*'Setup'!B18,0))</x:f>
        <x:v>12000</x:v>
      </x:c>
      <x:c r="E70" s="24" t="n">
        <x:f>IF('Setup'!$B$22&gt;0,"",L69)</x:f>
        <x:v>202311</x:v>
      </x:c>
      <x:c r="F70" s="24" t="n">
        <x:f>IF('Setup'!$B$22&gt;0,"",D70+E70)</x:f>
        <x:v>214311</x:v>
      </x:c>
      <x:c r="G70" s="24" t="n">
        <x:f>IF('Setup'!$B$22&gt;0,"",'Capacity'!N69*C70)</x:f>
        <x:v>8372</x:v>
      </x:c>
      <x:c r="H70" s="24" t="n">
        <x:f>IF('Setup'!$B$22&gt;0,"",'Capacity'!N70*C70)</x:f>
        <x:v>7893</x:v>
      </x:c>
      <x:c r="I70" s="24" t="n">
        <x:f>IF('Setup'!$B$22&gt;0,"",'Capacity'!N71*C70)</x:f>
        <x:v>7774</x:v>
      </x:c>
      <x:c r="J70" s="24" t="n">
        <x:f>IF('Setup'!$B$22&gt;0,"",MIN(G70:I70))</x:f>
        <x:v>7774</x:v>
      </x:c>
      <x:c r="K70" s="24" t="n">
        <x:f>IF('Setup'!$B$22&gt;0,"",MIN(F70,J70))</x:f>
        <x:v>7774</x:v>
      </x:c>
      <x:c r="L70" s="24" t="n">
        <x:f>IF('Setup'!$B$22&gt;0,"",MAX(0,F70-K70))</x:f>
        <x:v>206537</x:v>
      </x:c>
      <x:c r="M70" s="23" t="n">
        <x:f>IF('Setup'!$B$22&gt;0,"",IF(J70=0,0,K70/J70))</x:f>
        <x:v>1</x:v>
      </x:c>
      <x:c r="N70" s="25" t="n">
        <x:f>IF('Setup'!$B$22&gt;0,"",SUM('Capacity'!Z69:Z71)*C70)</x:f>
        <x:v>11319.68</x:v>
      </x:c>
      <x:c r="O70" s="25" t="n">
        <x:f>IF('Setup'!$B$22&gt;0,"",SUM('Capacity'!Q69:Q71)*C70)</x:f>
        <x:v>1987.1999999999996</x:v>
      </x:c>
      <x:c r="P70" s="1" t="str">
        <x:f>IF('Setup'!$B$22&gt;0,"",IF(C70=0,"Closed",INDEX('Processes'!$A$6:$A$8,MATCH(J70,G70:I70,0))))</x:f>
        <x:v>Ship</x:v>
      </x:c>
      <x:c r="Q70" s="1" t="n">
        <x:f>IF('Setup'!$B$22&gt;0,"",IF(C70=0,0,MAX(0,ROUNDUP(F70/'Capacity'!X69-'Capacity'!Y69,0)-'Capacity'!G69)))</x:f>
        <x:v>689</x:v>
      </x:c>
      <x:c r="R70" s="1" t="n">
        <x:f>IF('Setup'!$B$22&gt;0,"",IF(C70=0,0,MAX(0,ROUNDUP(F70/'Capacity'!X70-'Capacity'!Y70,0)-'Capacity'!G70)))</x:f>
        <x:v>576</x:v>
      </x:c>
      <x:c r="S70" s="1" t="n">
        <x:f>IF('Setup'!$B$22&gt;0,"",IF(C70=0,0,MAX(0,ROUNDUP(F70/'Capacity'!X71-'Capacity'!Y71,0)-'Capacity'!G71)))</x:f>
        <x:v>346</x:v>
      </x:c>
      <x:c r="T70" s="1" t="str">
        <x:f>IF('Setup'!$B$22&gt;0,"",IF(C70=0,IF(L70&gt;'Setup'!$B$7,"Backlog on closed day","Closed"),IF(OR(V70&gt;0,W70&gt;0),"Resolve staffing limits",IF(U70&gt;0,"Resolve physical limit",IF(L70&gt;'Setup'!$B$7,"Close labor capacity gap",IF(L70&gt;0,"Backlog below threshold","Within daily capacity"))))))</x:f>
        <x:v>Resolve physical limit</x:v>
      </x:c>
      <x:c r="U70" s="1" t="n">
        <x:f>IF('Setup'!$B$22&gt;0,"",IF(C70=0,0,MAX(0,F70-INT(MIN('Capacity'!M69:M71)))))</x:f>
        <x:v>206311</x:v>
      </x:c>
      <x:c r="V70" s="1" t="n">
        <x:f>IF('Setup'!$B$22&gt;0,"",SUM('Capacity'!T69:T71)*C70)</x:f>
        <x:v>0</x:v>
      </x:c>
      <x:c r="W70" s="1" t="n">
        <x:f>IF('Setup'!$B$22&gt;0,"",SUM('Capacity'!W69:W71)*C70)</x:f>
        <x:v>0</x:v>
      </x:c>
    </x:row>
    <x:row r="71" ht="23" customHeight="1">
      <x:c r="A71" s="20" t="n">
        <x:f>IF('Setup'!$B$22&gt;0,"",'Demand'!A71)</x:f>
        <x:v>46365</x:v>
      </x:c>
      <x:c r="B71" s="1" t="n">
        <x:f>IF('Setup'!$B$22&gt;0,"",'Demand'!B71)</x:f>
        <x:v>10</x:v>
      </x:c>
      <x:c r="C71" s="1" t="n">
        <x:f>IF('Setup'!$B$22&gt;0,"",'Demand'!C71)</x:f>
        <x:v>1</x:v>
      </x:c>
      <x:c r="D71" s="24" t="n">
        <x:f>IF('Setup'!$B$22&gt;0,"",ROUND('Demand'!D71*'Setup'!B18,0))</x:f>
        <x:v>12000</x:v>
      </x:c>
      <x:c r="E71" s="24" t="n">
        <x:f>IF('Setup'!$B$22&gt;0,"",L70)</x:f>
        <x:v>206537</x:v>
      </x:c>
      <x:c r="F71" s="24" t="n">
        <x:f>IF('Setup'!$B$22&gt;0,"",D71+E71)</x:f>
        <x:v>218537</x:v>
      </x:c>
      <x:c r="G71" s="24" t="n">
        <x:f>IF('Setup'!$B$22&gt;0,"",'Capacity'!N69*C71)</x:f>
        <x:v>8372</x:v>
      </x:c>
      <x:c r="H71" s="24" t="n">
        <x:f>IF('Setup'!$B$22&gt;0,"",'Capacity'!N70*C71)</x:f>
        <x:v>7893</x:v>
      </x:c>
      <x:c r="I71" s="24" t="n">
        <x:f>IF('Setup'!$B$22&gt;0,"",'Capacity'!N71*C71)</x:f>
        <x:v>7774</x:v>
      </x:c>
      <x:c r="J71" s="24" t="n">
        <x:f>IF('Setup'!$B$22&gt;0,"",MIN(G71:I71))</x:f>
        <x:v>7774</x:v>
      </x:c>
      <x:c r="K71" s="24" t="n">
        <x:f>IF('Setup'!$B$22&gt;0,"",MIN(F71,J71))</x:f>
        <x:v>7774</x:v>
      </x:c>
      <x:c r="L71" s="24" t="n">
        <x:f>IF('Setup'!$B$22&gt;0,"",MAX(0,F71-K71))</x:f>
        <x:v>210763</x:v>
      </x:c>
      <x:c r="M71" s="23" t="n">
        <x:f>IF('Setup'!$B$22&gt;0,"",IF(J71=0,0,K71/J71))</x:f>
        <x:v>1</x:v>
      </x:c>
      <x:c r="N71" s="25" t="n">
        <x:f>IF('Setup'!$B$22&gt;0,"",SUM('Capacity'!Z69:Z71)*C71)</x:f>
        <x:v>11319.68</x:v>
      </x:c>
      <x:c r="O71" s="25" t="n">
        <x:f>IF('Setup'!$B$22&gt;0,"",SUM('Capacity'!Q69:Q71)*C71)</x:f>
        <x:v>1987.1999999999996</x:v>
      </x:c>
      <x:c r="P71" s="1" t="str">
        <x:f>IF('Setup'!$B$22&gt;0,"",IF(C71=0,"Closed",INDEX('Processes'!$A$6:$A$8,MATCH(J71,G71:I71,0))))</x:f>
        <x:v>Ship</x:v>
      </x:c>
      <x:c r="Q71" s="1" t="n">
        <x:f>IF('Setup'!$B$22&gt;0,"",IF(C71=0,0,MAX(0,ROUNDUP(F71/'Capacity'!X69-'Capacity'!Y69,0)-'Capacity'!G69)))</x:f>
        <x:v>703</x:v>
      </x:c>
      <x:c r="R71" s="1" t="n">
        <x:f>IF('Setup'!$B$22&gt;0,"",IF(C71=0,0,MAX(0,ROUNDUP(F71/'Capacity'!X70-'Capacity'!Y70,0)-'Capacity'!G70)))</x:f>
        <x:v>588</x:v>
      </x:c>
      <x:c r="S71" s="1" t="n">
        <x:f>IF('Setup'!$B$22&gt;0,"",IF(C71=0,0,MAX(0,ROUNDUP(F71/'Capacity'!X71-'Capacity'!Y71,0)-'Capacity'!G71)))</x:f>
        <x:v>353</x:v>
      </x:c>
      <x:c r="T71" s="1" t="str">
        <x:f>IF('Setup'!$B$22&gt;0,"",IF(C71=0,IF(L71&gt;'Setup'!$B$7,"Backlog on closed day","Closed"),IF(OR(V71&gt;0,W71&gt;0),"Resolve staffing limits",IF(U71&gt;0,"Resolve physical limit",IF(L71&gt;'Setup'!$B$7,"Close labor capacity gap",IF(L71&gt;0,"Backlog below threshold","Within daily capacity"))))))</x:f>
        <x:v>Resolve physical limit</x:v>
      </x:c>
      <x:c r="U71" s="1" t="n">
        <x:f>IF('Setup'!$B$22&gt;0,"",IF(C71=0,0,MAX(0,F71-INT(MIN('Capacity'!M69:M71)))))</x:f>
        <x:v>210537</x:v>
      </x:c>
      <x:c r="V71" s="1" t="n">
        <x:f>IF('Setup'!$B$22&gt;0,"",SUM('Capacity'!T69:T71)*C71)</x:f>
        <x:v>0</x:v>
      </x:c>
      <x:c r="W71" s="1" t="n">
        <x:f>IF('Setup'!$B$22&gt;0,"",SUM('Capacity'!W69:W71)*C71)</x:f>
        <x:v>0</x:v>
      </x:c>
    </x:row>
    <x:row r="72" ht="23" customHeight="1">
      <x:c r="A72" s="20" t="n">
        <x:f>IF('Setup'!$B$22&gt;0,"",'Demand'!A72)</x:f>
        <x:v>46366</x:v>
      </x:c>
      <x:c r="B72" s="1" t="n">
        <x:f>IF('Setup'!$B$22&gt;0,"",'Demand'!B72)</x:f>
        <x:v>10</x:v>
      </x:c>
      <x:c r="C72" s="1" t="n">
        <x:f>IF('Setup'!$B$22&gt;0,"",'Demand'!C72)</x:f>
        <x:v>1</x:v>
      </x:c>
      <x:c r="D72" s="24" t="n">
        <x:f>IF('Setup'!$B$22&gt;0,"",ROUND('Demand'!D72*'Setup'!B18,0))</x:f>
        <x:v>12000</x:v>
      </x:c>
      <x:c r="E72" s="24" t="n">
        <x:f>IF('Setup'!$B$22&gt;0,"",L71)</x:f>
        <x:v>210763</x:v>
      </x:c>
      <x:c r="F72" s="24" t="n">
        <x:f>IF('Setup'!$B$22&gt;0,"",D72+E72)</x:f>
        <x:v>222763</x:v>
      </x:c>
      <x:c r="G72" s="24" t="n">
        <x:f>IF('Setup'!$B$22&gt;0,"",'Capacity'!N69*C72)</x:f>
        <x:v>8372</x:v>
      </x:c>
      <x:c r="H72" s="24" t="n">
        <x:f>IF('Setup'!$B$22&gt;0,"",'Capacity'!N70*C72)</x:f>
        <x:v>7893</x:v>
      </x:c>
      <x:c r="I72" s="24" t="n">
        <x:f>IF('Setup'!$B$22&gt;0,"",'Capacity'!N71*C72)</x:f>
        <x:v>7774</x:v>
      </x:c>
      <x:c r="J72" s="24" t="n">
        <x:f>IF('Setup'!$B$22&gt;0,"",MIN(G72:I72))</x:f>
        <x:v>7774</x:v>
      </x:c>
      <x:c r="K72" s="24" t="n">
        <x:f>IF('Setup'!$B$22&gt;0,"",MIN(F72,J72))</x:f>
        <x:v>7774</x:v>
      </x:c>
      <x:c r="L72" s="24" t="n">
        <x:f>IF('Setup'!$B$22&gt;0,"",MAX(0,F72-K72))</x:f>
        <x:v>214989</x:v>
      </x:c>
      <x:c r="M72" s="23" t="n">
        <x:f>IF('Setup'!$B$22&gt;0,"",IF(J72=0,0,K72/J72))</x:f>
        <x:v>1</x:v>
      </x:c>
      <x:c r="N72" s="25" t="n">
        <x:f>IF('Setup'!$B$22&gt;0,"",SUM('Capacity'!Z69:Z71)*C72)</x:f>
        <x:v>11319.68</x:v>
      </x:c>
      <x:c r="O72" s="25" t="n">
        <x:f>IF('Setup'!$B$22&gt;0,"",SUM('Capacity'!Q69:Q71)*C72)</x:f>
        <x:v>1987.1999999999996</x:v>
      </x:c>
      <x:c r="P72" s="1" t="str">
        <x:f>IF('Setup'!$B$22&gt;0,"",IF(C72=0,"Closed",INDEX('Processes'!$A$6:$A$8,MATCH(J72,G72:I72,0))))</x:f>
        <x:v>Ship</x:v>
      </x:c>
      <x:c r="Q72" s="1" t="n">
        <x:f>IF('Setup'!$B$22&gt;0,"",IF(C72=0,0,MAX(0,ROUNDUP(F72/'Capacity'!X69-'Capacity'!Y69,0)-'Capacity'!G69)))</x:f>
        <x:v>718</x:v>
      </x:c>
      <x:c r="R72" s="1" t="n">
        <x:f>IF('Setup'!$B$22&gt;0,"",IF(C72=0,0,MAX(0,ROUNDUP(F72/'Capacity'!X70-'Capacity'!Y70,0)-'Capacity'!G70)))</x:f>
        <x:v>599</x:v>
      </x:c>
      <x:c r="S72" s="1" t="n">
        <x:f>IF('Setup'!$B$22&gt;0,"",IF(C72=0,0,MAX(0,ROUNDUP(F72/'Capacity'!X71-'Capacity'!Y71,0)-'Capacity'!G71)))</x:f>
        <x:v>360</x:v>
      </x:c>
      <x:c r="T72" s="1" t="str">
        <x:f>IF('Setup'!$B$22&gt;0,"",IF(C72=0,IF(L72&gt;'Setup'!$B$7,"Backlog on closed day","Closed"),IF(OR(V72&gt;0,W72&gt;0),"Resolve staffing limits",IF(U72&gt;0,"Resolve physical limit",IF(L72&gt;'Setup'!$B$7,"Close labor capacity gap",IF(L72&gt;0,"Backlog below threshold","Within daily capacity"))))))</x:f>
        <x:v>Resolve physical limit</x:v>
      </x:c>
      <x:c r="U72" s="1" t="n">
        <x:f>IF('Setup'!$B$22&gt;0,"",IF(C72=0,0,MAX(0,F72-INT(MIN('Capacity'!M69:M71)))))</x:f>
        <x:v>214763</x:v>
      </x:c>
      <x:c r="V72" s="1" t="n">
        <x:f>IF('Setup'!$B$22&gt;0,"",SUM('Capacity'!T69:T71)*C72)</x:f>
        <x:v>0</x:v>
      </x:c>
      <x:c r="W72" s="1" t="n">
        <x:f>IF('Setup'!$B$22&gt;0,"",SUM('Capacity'!W69:W71)*C72)</x:f>
        <x:v>0</x:v>
      </x:c>
    </x:row>
    <x:row r="73" ht="23" customHeight="1">
      <x:c r="A73" s="20" t="n">
        <x:f>IF('Setup'!$B$22&gt;0,"",'Demand'!A73)</x:f>
        <x:v>46367</x:v>
      </x:c>
      <x:c r="B73" s="1" t="n">
        <x:f>IF('Setup'!$B$22&gt;0,"",'Demand'!B73)</x:f>
        <x:v>10</x:v>
      </x:c>
      <x:c r="C73" s="1" t="n">
        <x:f>IF('Setup'!$B$22&gt;0,"",'Demand'!C73)</x:f>
        <x:v>1</x:v>
      </x:c>
      <x:c r="D73" s="24" t="n">
        <x:f>IF('Setup'!$B$22&gt;0,"",ROUND('Demand'!D73*'Setup'!B18,0))</x:f>
        <x:v>12000</x:v>
      </x:c>
      <x:c r="E73" s="24" t="n">
        <x:f>IF('Setup'!$B$22&gt;0,"",L72)</x:f>
        <x:v>214989</x:v>
      </x:c>
      <x:c r="F73" s="24" t="n">
        <x:f>IF('Setup'!$B$22&gt;0,"",D73+E73)</x:f>
        <x:v>226989</x:v>
      </x:c>
      <x:c r="G73" s="24" t="n">
        <x:f>IF('Setup'!$B$22&gt;0,"",'Capacity'!N69*C73)</x:f>
        <x:v>8372</x:v>
      </x:c>
      <x:c r="H73" s="24" t="n">
        <x:f>IF('Setup'!$B$22&gt;0,"",'Capacity'!N70*C73)</x:f>
        <x:v>7893</x:v>
      </x:c>
      <x:c r="I73" s="24" t="n">
        <x:f>IF('Setup'!$B$22&gt;0,"",'Capacity'!N71*C73)</x:f>
        <x:v>7774</x:v>
      </x:c>
      <x:c r="J73" s="24" t="n">
        <x:f>IF('Setup'!$B$22&gt;0,"",MIN(G73:I73))</x:f>
        <x:v>7774</x:v>
      </x:c>
      <x:c r="K73" s="24" t="n">
        <x:f>IF('Setup'!$B$22&gt;0,"",MIN(F73,J73))</x:f>
        <x:v>7774</x:v>
      </x:c>
      <x:c r="L73" s="24" t="n">
        <x:f>IF('Setup'!$B$22&gt;0,"",MAX(0,F73-K73))</x:f>
        <x:v>219215</x:v>
      </x:c>
      <x:c r="M73" s="23" t="n">
        <x:f>IF('Setup'!$B$22&gt;0,"",IF(J73=0,0,K73/J73))</x:f>
        <x:v>1</x:v>
      </x:c>
      <x:c r="N73" s="25" t="n">
        <x:f>IF('Setup'!$B$22&gt;0,"",SUM('Capacity'!Z69:Z71)*C73)</x:f>
        <x:v>11319.68</x:v>
      </x:c>
      <x:c r="O73" s="25" t="n">
        <x:f>IF('Setup'!$B$22&gt;0,"",SUM('Capacity'!Q69:Q71)*C73)</x:f>
        <x:v>1987.1999999999996</x:v>
      </x:c>
      <x:c r="P73" s="1" t="str">
        <x:f>IF('Setup'!$B$22&gt;0,"",IF(C73=0,"Closed",INDEX('Processes'!$A$6:$A$8,MATCH(J73,G73:I73,0))))</x:f>
        <x:v>Ship</x:v>
      </x:c>
      <x:c r="Q73" s="1" t="n">
        <x:f>IF('Setup'!$B$22&gt;0,"",IF(C73=0,0,MAX(0,ROUNDUP(F73/'Capacity'!X69-'Capacity'!Y69,0)-'Capacity'!G69)))</x:f>
        <x:v>732</x:v>
      </x:c>
      <x:c r="R73" s="1" t="n">
        <x:f>IF('Setup'!$B$22&gt;0,"",IF(C73=0,0,MAX(0,ROUNDUP(F73/'Capacity'!X70-'Capacity'!Y70,0)-'Capacity'!G70)))</x:f>
        <x:v>611</x:v>
      </x:c>
      <x:c r="S73" s="1" t="n">
        <x:f>IF('Setup'!$B$22&gt;0,"",IF(C73=0,0,MAX(0,ROUNDUP(F73/'Capacity'!X71-'Capacity'!Y71,0)-'Capacity'!G71)))</x:f>
        <x:v>367</x:v>
      </x:c>
      <x:c r="T73" s="1" t="str">
        <x:f>IF('Setup'!$B$22&gt;0,"",IF(C73=0,IF(L73&gt;'Setup'!$B$7,"Backlog on closed day","Closed"),IF(OR(V73&gt;0,W73&gt;0),"Resolve staffing limits",IF(U73&gt;0,"Resolve physical limit",IF(L73&gt;'Setup'!$B$7,"Close labor capacity gap",IF(L73&gt;0,"Backlog below threshold","Within daily capacity"))))))</x:f>
        <x:v>Resolve physical limit</x:v>
      </x:c>
      <x:c r="U73" s="1" t="n">
        <x:f>IF('Setup'!$B$22&gt;0,"",IF(C73=0,0,MAX(0,F73-INT(MIN('Capacity'!M69:M71)))))</x:f>
        <x:v>218989</x:v>
      </x:c>
      <x:c r="V73" s="1" t="n">
        <x:f>IF('Setup'!$B$22&gt;0,"",SUM('Capacity'!T69:T71)*C73)</x:f>
        <x:v>0</x:v>
      </x:c>
      <x:c r="W73" s="1" t="n">
        <x:f>IF('Setup'!$B$22&gt;0,"",SUM('Capacity'!W69:W71)*C73)</x:f>
        <x:v>0</x:v>
      </x:c>
    </x:row>
    <x:row r="74" ht="23" customHeight="1">
      <x:c r="A74" s="20" t="n">
        <x:f>IF('Setup'!$B$22&gt;0,"",'Demand'!A74)</x:f>
        <x:v>46368</x:v>
      </x:c>
      <x:c r="B74" s="1" t="n">
        <x:f>IF('Setup'!$B$22&gt;0,"",'Demand'!B74)</x:f>
        <x:v>10</x:v>
      </x:c>
      <x:c r="C74" s="1" t="n">
        <x:f>IF('Setup'!$B$22&gt;0,"",'Demand'!C74)</x:f>
        <x:v>0</x:v>
      </x:c>
      <x:c r="D74" s="24" t="n">
        <x:f>IF('Setup'!$B$22&gt;0,"",ROUND('Demand'!D74*'Setup'!B18,0))</x:f>
        <x:v>0</x:v>
      </x:c>
      <x:c r="E74" s="24" t="n">
        <x:f>IF('Setup'!$B$22&gt;0,"",L73)</x:f>
        <x:v>219215</x:v>
      </x:c>
      <x:c r="F74" s="24" t="n">
        <x:f>IF('Setup'!$B$22&gt;0,"",D74+E74)</x:f>
        <x:v>219215</x:v>
      </x:c>
      <x:c r="G74" s="24" t="n">
        <x:f>IF('Setup'!$B$22&gt;0,"",'Capacity'!N69*C74)</x:f>
        <x:v>0</x:v>
      </x:c>
      <x:c r="H74" s="24" t="n">
        <x:f>IF('Setup'!$B$22&gt;0,"",'Capacity'!N70*C74)</x:f>
        <x:v>0</x:v>
      </x:c>
      <x:c r="I74" s="24" t="n">
        <x:f>IF('Setup'!$B$22&gt;0,"",'Capacity'!N71*C74)</x:f>
        <x:v>0</x:v>
      </x:c>
      <x:c r="J74" s="24" t="n">
        <x:f>IF('Setup'!$B$22&gt;0,"",MIN(G74:I74))</x:f>
        <x:v>0</x:v>
      </x:c>
      <x:c r="K74" s="24" t="n">
        <x:f>IF('Setup'!$B$22&gt;0,"",MIN(F74,J74))</x:f>
        <x:v>0</x:v>
      </x:c>
      <x:c r="L74" s="24" t="n">
        <x:f>IF('Setup'!$B$22&gt;0,"",MAX(0,F74-K74))</x:f>
        <x:v>219215</x:v>
      </x:c>
      <x:c r="M74" s="23" t="n">
        <x:f>IF('Setup'!$B$22&gt;0,"",IF(J74=0,0,K74/J74))</x:f>
        <x:v>0</x:v>
      </x:c>
      <x:c r="N74" s="25" t="n">
        <x:f>IF('Setup'!$B$22&gt;0,"",SUM('Capacity'!Z69:Z71)*C74)</x:f>
        <x:v>0</x:v>
      </x:c>
      <x:c r="O74" s="25" t="n">
        <x:f>IF('Setup'!$B$22&gt;0,"",SUM('Capacity'!Q69:Q71)*C74)</x:f>
        <x:v>0</x:v>
      </x:c>
      <x:c r="P74" s="1" t="str">
        <x:f>IF('Setup'!$B$22&gt;0,"",IF(C74=0,"Closed",INDEX('Processes'!$A$6:$A$8,MATCH(J74,G74:I74,0))))</x:f>
        <x:v>Closed</x:v>
      </x:c>
      <x:c r="Q74" s="1" t="n">
        <x:f>IF('Setup'!$B$22&gt;0,"",IF(C74=0,0,MAX(0,ROUNDUP(F74/'Capacity'!X69-'Capacity'!Y69,0)-'Capacity'!G69)))</x:f>
        <x:v>0</x:v>
      </x:c>
      <x:c r="R74" s="1" t="n">
        <x:f>IF('Setup'!$B$22&gt;0,"",IF(C74=0,0,MAX(0,ROUNDUP(F74/'Capacity'!X70-'Capacity'!Y70,0)-'Capacity'!G70)))</x:f>
        <x:v>0</x:v>
      </x:c>
      <x:c r="S74" s="1" t="n">
        <x:f>IF('Setup'!$B$22&gt;0,"",IF(C74=0,0,MAX(0,ROUNDUP(F74/'Capacity'!X71-'Capacity'!Y71,0)-'Capacity'!G71)))</x:f>
        <x:v>0</x:v>
      </x:c>
      <x:c r="T74" s="1" t="str">
        <x:f>IF('Setup'!$B$22&gt;0,"",IF(C74=0,IF(L74&gt;'Setup'!$B$7,"Backlog on closed day","Closed"),IF(OR(V74&gt;0,W74&gt;0),"Resolve staffing limits",IF(U74&gt;0,"Resolve physical limit",IF(L74&gt;'Setup'!$B$7,"Close labor capacity gap",IF(L74&gt;0,"Backlog below threshold","Within daily capacity"))))))</x:f>
        <x:v>Backlog on closed day</x:v>
      </x:c>
      <x:c r="U74" s="1" t="n">
        <x:f>IF('Setup'!$B$22&gt;0,"",IF(C74=0,0,MAX(0,F74-INT(MIN('Capacity'!M69:M71)))))</x:f>
        <x:v>0</x:v>
      </x:c>
      <x:c r="V74" s="1" t="n">
        <x:f>IF('Setup'!$B$22&gt;0,"",SUM('Capacity'!T69:T71)*C74)</x:f>
        <x:v>0</x:v>
      </x:c>
      <x:c r="W74" s="1" t="n">
        <x:f>IF('Setup'!$B$22&gt;0,"",SUM('Capacity'!W69:W71)*C74)</x:f>
        <x:v>0</x:v>
      </x:c>
    </x:row>
    <x:row r="75" ht="23" customHeight="1">
      <x:c r="A75" s="20" t="n">
        <x:f>IF('Setup'!$B$22&gt;0,"",'Demand'!A75)</x:f>
        <x:v>46369</x:v>
      </x:c>
      <x:c r="B75" s="1" t="n">
        <x:f>IF('Setup'!$B$22&gt;0,"",'Demand'!B75)</x:f>
        <x:v>10</x:v>
      </x:c>
      <x:c r="C75" s="1" t="n">
        <x:f>IF('Setup'!$B$22&gt;0,"",'Demand'!C75)</x:f>
        <x:v>0</x:v>
      </x:c>
      <x:c r="D75" s="24" t="n">
        <x:f>IF('Setup'!$B$22&gt;0,"",ROUND('Demand'!D75*'Setup'!B18,0))</x:f>
        <x:v>0</x:v>
      </x:c>
      <x:c r="E75" s="24" t="n">
        <x:f>IF('Setup'!$B$22&gt;0,"",L74)</x:f>
        <x:v>219215</x:v>
      </x:c>
      <x:c r="F75" s="24" t="n">
        <x:f>IF('Setup'!$B$22&gt;0,"",D75+E75)</x:f>
        <x:v>219215</x:v>
      </x:c>
      <x:c r="G75" s="24" t="n">
        <x:f>IF('Setup'!$B$22&gt;0,"",'Capacity'!N69*C75)</x:f>
        <x:v>0</x:v>
      </x:c>
      <x:c r="H75" s="24" t="n">
        <x:f>IF('Setup'!$B$22&gt;0,"",'Capacity'!N70*C75)</x:f>
        <x:v>0</x:v>
      </x:c>
      <x:c r="I75" s="24" t="n">
        <x:f>IF('Setup'!$B$22&gt;0,"",'Capacity'!N71*C75)</x:f>
        <x:v>0</x:v>
      </x:c>
      <x:c r="J75" s="24" t="n">
        <x:f>IF('Setup'!$B$22&gt;0,"",MIN(G75:I75))</x:f>
        <x:v>0</x:v>
      </x:c>
      <x:c r="K75" s="24" t="n">
        <x:f>IF('Setup'!$B$22&gt;0,"",MIN(F75,J75))</x:f>
        <x:v>0</x:v>
      </x:c>
      <x:c r="L75" s="24" t="n">
        <x:f>IF('Setup'!$B$22&gt;0,"",MAX(0,F75-K75))</x:f>
        <x:v>219215</x:v>
      </x:c>
      <x:c r="M75" s="23" t="n">
        <x:f>IF('Setup'!$B$22&gt;0,"",IF(J75=0,0,K75/J75))</x:f>
        <x:v>0</x:v>
      </x:c>
      <x:c r="N75" s="25" t="n">
        <x:f>IF('Setup'!$B$22&gt;0,"",SUM('Capacity'!Z69:Z71)*C75)</x:f>
        <x:v>0</x:v>
      </x:c>
      <x:c r="O75" s="25" t="n">
        <x:f>IF('Setup'!$B$22&gt;0,"",SUM('Capacity'!Q69:Q71)*C75)</x:f>
        <x:v>0</x:v>
      </x:c>
      <x:c r="P75" s="1" t="str">
        <x:f>IF('Setup'!$B$22&gt;0,"",IF(C75=0,"Closed",INDEX('Processes'!$A$6:$A$8,MATCH(J75,G75:I75,0))))</x:f>
        <x:v>Closed</x:v>
      </x:c>
      <x:c r="Q75" s="1" t="n">
        <x:f>IF('Setup'!$B$22&gt;0,"",IF(C75=0,0,MAX(0,ROUNDUP(F75/'Capacity'!X69-'Capacity'!Y69,0)-'Capacity'!G69)))</x:f>
        <x:v>0</x:v>
      </x:c>
      <x:c r="R75" s="1" t="n">
        <x:f>IF('Setup'!$B$22&gt;0,"",IF(C75=0,0,MAX(0,ROUNDUP(F75/'Capacity'!X70-'Capacity'!Y70,0)-'Capacity'!G70)))</x:f>
        <x:v>0</x:v>
      </x:c>
      <x:c r="S75" s="1" t="n">
        <x:f>IF('Setup'!$B$22&gt;0,"",IF(C75=0,0,MAX(0,ROUNDUP(F75/'Capacity'!X71-'Capacity'!Y71,0)-'Capacity'!G71)))</x:f>
        <x:v>0</x:v>
      </x:c>
      <x:c r="T75" s="1" t="str">
        <x:f>IF('Setup'!$B$22&gt;0,"",IF(C75=0,IF(L75&gt;'Setup'!$B$7,"Backlog on closed day","Closed"),IF(OR(V75&gt;0,W75&gt;0),"Resolve staffing limits",IF(U75&gt;0,"Resolve physical limit",IF(L75&gt;'Setup'!$B$7,"Close labor capacity gap",IF(L75&gt;0,"Backlog below threshold","Within daily capacity"))))))</x:f>
        <x:v>Backlog on closed day</x:v>
      </x:c>
      <x:c r="U75" s="1" t="n">
        <x:f>IF('Setup'!$B$22&gt;0,"",IF(C75=0,0,MAX(0,F75-INT(MIN('Capacity'!M69:M71)))))</x:f>
        <x:v>0</x:v>
      </x:c>
      <x:c r="V75" s="1" t="n">
        <x:f>IF('Setup'!$B$22&gt;0,"",SUM('Capacity'!T69:T71)*C75)</x:f>
        <x:v>0</x:v>
      </x:c>
      <x:c r="W75" s="1" t="n">
        <x:f>IF('Setup'!$B$22&gt;0,"",SUM('Capacity'!W69:W71)*C75)</x:f>
        <x:v>0</x:v>
      </x:c>
    </x:row>
    <x:row r="76" ht="23" customHeight="1">
      <x:c r="A76" s="20" t="n">
        <x:f>IF('Setup'!$B$22&gt;0,"",'Demand'!A76)</x:f>
        <x:v>46370</x:v>
      </x:c>
      <x:c r="B76" s="1" t="n">
        <x:f>IF('Setup'!$B$22&gt;0,"",'Demand'!B76)</x:f>
        <x:v>11</x:v>
      </x:c>
      <x:c r="C76" s="1" t="n">
        <x:f>IF('Setup'!$B$22&gt;0,"",'Demand'!C76)</x:f>
        <x:v>1</x:v>
      </x:c>
      <x:c r="D76" s="24" t="n">
        <x:f>IF('Setup'!$B$22&gt;0,"",ROUND('Demand'!D76*'Setup'!B18,0))</x:f>
        <x:v>9600</x:v>
      </x:c>
      <x:c r="E76" s="24" t="n">
        <x:f>IF('Setup'!$B$22&gt;0,"",L75)</x:f>
        <x:v>219215</x:v>
      </x:c>
      <x:c r="F76" s="24" t="n">
        <x:f>IF('Setup'!$B$22&gt;0,"",D76+E76)</x:f>
        <x:v>228815</x:v>
      </x:c>
      <x:c r="G76" s="24" t="n">
        <x:f>IF('Setup'!$B$22&gt;0,"",'Capacity'!N72*C76)</x:f>
        <x:v>8372</x:v>
      </x:c>
      <x:c r="H76" s="24" t="n">
        <x:f>IF('Setup'!$B$22&gt;0,"",'Capacity'!N73*C76)</x:f>
        <x:v>7893</x:v>
      </x:c>
      <x:c r="I76" s="24" t="n">
        <x:f>IF('Setup'!$B$22&gt;0,"",'Capacity'!N74*C76)</x:f>
        <x:v>7774</x:v>
      </x:c>
      <x:c r="J76" s="24" t="n">
        <x:f>IF('Setup'!$B$22&gt;0,"",MIN(G76:I76))</x:f>
        <x:v>7774</x:v>
      </x:c>
      <x:c r="K76" s="24" t="n">
        <x:f>IF('Setup'!$B$22&gt;0,"",MIN(F76,J76))</x:f>
        <x:v>7774</x:v>
      </x:c>
      <x:c r="L76" s="24" t="n">
        <x:f>IF('Setup'!$B$22&gt;0,"",MAX(0,F76-K76))</x:f>
        <x:v>221041</x:v>
      </x:c>
      <x:c r="M76" s="23" t="n">
        <x:f>IF('Setup'!$B$22&gt;0,"",IF(J76=0,0,K76/J76))</x:f>
        <x:v>1</x:v>
      </x:c>
      <x:c r="N76" s="25" t="n">
        <x:f>IF('Setup'!$B$22&gt;0,"",SUM('Capacity'!Z72:Z74)*C76)</x:f>
        <x:v>11319.68</x:v>
      </x:c>
      <x:c r="O76" s="25" t="n">
        <x:f>IF('Setup'!$B$22&gt;0,"",SUM('Capacity'!Q72:Q74)*C76)</x:f>
        <x:v>1987.1999999999996</x:v>
      </x:c>
      <x:c r="P76" s="1" t="str">
        <x:f>IF('Setup'!$B$22&gt;0,"",IF(C76=0,"Closed",INDEX('Processes'!$A$6:$A$8,MATCH(J76,G76:I76,0))))</x:f>
        <x:v>Ship</x:v>
      </x:c>
      <x:c r="Q76" s="1" t="n">
        <x:f>IF('Setup'!$B$22&gt;0,"",IF(C76=0,0,MAX(0,ROUNDUP(F76/'Capacity'!X72-'Capacity'!Y72,0)-'Capacity'!G72)))</x:f>
        <x:v>738</x:v>
      </x:c>
      <x:c r="R76" s="1" t="n">
        <x:f>IF('Setup'!$B$22&gt;0,"",IF(C76=0,0,MAX(0,ROUNDUP(F76/'Capacity'!X73-'Capacity'!Y73,0)-'Capacity'!G73)))</x:f>
        <x:v>616</x:v>
      </x:c>
      <x:c r="S76" s="1" t="n">
        <x:f>IF('Setup'!$B$22&gt;0,"",IF(C76=0,0,MAX(0,ROUNDUP(F76/'Capacity'!X74-'Capacity'!Y74,0)-'Capacity'!G74)))</x:f>
        <x:v>370</x:v>
      </x:c>
      <x:c r="T76" s="1" t="str">
        <x:f>IF('Setup'!$B$22&gt;0,"",IF(C76=0,IF(L76&gt;'Setup'!$B$7,"Backlog on closed day","Closed"),IF(OR(V76&gt;0,W76&gt;0),"Resolve staffing limits",IF(U76&gt;0,"Resolve physical limit",IF(L76&gt;'Setup'!$B$7,"Close labor capacity gap",IF(L76&gt;0,"Backlog below threshold","Within daily capacity"))))))</x:f>
        <x:v>Resolve physical limit</x:v>
      </x:c>
      <x:c r="U76" s="1" t="n">
        <x:f>IF('Setup'!$B$22&gt;0,"",IF(C76=0,0,MAX(0,F76-INT(MIN('Capacity'!M72:M74)))))</x:f>
        <x:v>220815</x:v>
      </x:c>
      <x:c r="V76" s="1" t="n">
        <x:f>IF('Setup'!$B$22&gt;0,"",SUM('Capacity'!T72:T74)*C76)</x:f>
        <x:v>0</x:v>
      </x:c>
      <x:c r="W76" s="1" t="n">
        <x:f>IF('Setup'!$B$22&gt;0,"",SUM('Capacity'!W72:W74)*C76)</x:f>
        <x:v>0</x:v>
      </x:c>
    </x:row>
    <x:row r="77" ht="23" customHeight="1">
      <x:c r="A77" s="20" t="n">
        <x:f>IF('Setup'!$B$22&gt;0,"",'Demand'!A77)</x:f>
        <x:v>46371</x:v>
      </x:c>
      <x:c r="B77" s="1" t="n">
        <x:f>IF('Setup'!$B$22&gt;0,"",'Demand'!B77)</x:f>
        <x:v>11</x:v>
      </x:c>
      <x:c r="C77" s="1" t="n">
        <x:f>IF('Setup'!$B$22&gt;0,"",'Demand'!C77)</x:f>
        <x:v>1</x:v>
      </x:c>
      <x:c r="D77" s="24" t="n">
        <x:f>IF('Setup'!$B$22&gt;0,"",ROUND('Demand'!D77*'Setup'!B18,0))</x:f>
        <x:v>9600</x:v>
      </x:c>
      <x:c r="E77" s="24" t="n">
        <x:f>IF('Setup'!$B$22&gt;0,"",L76)</x:f>
        <x:v>221041</x:v>
      </x:c>
      <x:c r="F77" s="24" t="n">
        <x:f>IF('Setup'!$B$22&gt;0,"",D77+E77)</x:f>
        <x:v>230641</x:v>
      </x:c>
      <x:c r="G77" s="24" t="n">
        <x:f>IF('Setup'!$B$22&gt;0,"",'Capacity'!N72*C77)</x:f>
        <x:v>8372</x:v>
      </x:c>
      <x:c r="H77" s="24" t="n">
        <x:f>IF('Setup'!$B$22&gt;0,"",'Capacity'!N73*C77)</x:f>
        <x:v>7893</x:v>
      </x:c>
      <x:c r="I77" s="24" t="n">
        <x:f>IF('Setup'!$B$22&gt;0,"",'Capacity'!N74*C77)</x:f>
        <x:v>7774</x:v>
      </x:c>
      <x:c r="J77" s="24" t="n">
        <x:f>IF('Setup'!$B$22&gt;0,"",MIN(G77:I77))</x:f>
        <x:v>7774</x:v>
      </x:c>
      <x:c r="K77" s="24" t="n">
        <x:f>IF('Setup'!$B$22&gt;0,"",MIN(F77,J77))</x:f>
        <x:v>7774</x:v>
      </x:c>
      <x:c r="L77" s="24" t="n">
        <x:f>IF('Setup'!$B$22&gt;0,"",MAX(0,F77-K77))</x:f>
        <x:v>222867</x:v>
      </x:c>
      <x:c r="M77" s="23" t="n">
        <x:f>IF('Setup'!$B$22&gt;0,"",IF(J77=0,0,K77/J77))</x:f>
        <x:v>1</x:v>
      </x:c>
      <x:c r="N77" s="25" t="n">
        <x:f>IF('Setup'!$B$22&gt;0,"",SUM('Capacity'!Z72:Z74)*C77)</x:f>
        <x:v>11319.68</x:v>
      </x:c>
      <x:c r="O77" s="25" t="n">
        <x:f>IF('Setup'!$B$22&gt;0,"",SUM('Capacity'!Q72:Q74)*C77)</x:f>
        <x:v>1987.1999999999996</x:v>
      </x:c>
      <x:c r="P77" s="1" t="str">
        <x:f>IF('Setup'!$B$22&gt;0,"",IF(C77=0,"Closed",INDEX('Processes'!$A$6:$A$8,MATCH(J77,G77:I77,0))))</x:f>
        <x:v>Ship</x:v>
      </x:c>
      <x:c r="Q77" s="1" t="n">
        <x:f>IF('Setup'!$B$22&gt;0,"",IF(C77=0,0,MAX(0,ROUNDUP(F77/'Capacity'!X72-'Capacity'!Y72,0)-'Capacity'!G72)))</x:f>
        <x:v>744</x:v>
      </x:c>
      <x:c r="R77" s="1" t="n">
        <x:f>IF('Setup'!$B$22&gt;0,"",IF(C77=0,0,MAX(0,ROUNDUP(F77/'Capacity'!X73-'Capacity'!Y73,0)-'Capacity'!G73)))</x:f>
        <x:v>621</x:v>
      </x:c>
      <x:c r="S77" s="1" t="n">
        <x:f>IF('Setup'!$B$22&gt;0,"",IF(C77=0,0,MAX(0,ROUNDUP(F77/'Capacity'!X74-'Capacity'!Y74,0)-'Capacity'!G74)))</x:f>
        <x:v>373</x:v>
      </x:c>
      <x:c r="T77" s="1" t="str">
        <x:f>IF('Setup'!$B$22&gt;0,"",IF(C77=0,IF(L77&gt;'Setup'!$B$7,"Backlog on closed day","Closed"),IF(OR(V77&gt;0,W77&gt;0),"Resolve staffing limits",IF(U77&gt;0,"Resolve physical limit",IF(L77&gt;'Setup'!$B$7,"Close labor capacity gap",IF(L77&gt;0,"Backlog below threshold","Within daily capacity"))))))</x:f>
        <x:v>Resolve physical limit</x:v>
      </x:c>
      <x:c r="U77" s="1" t="n">
        <x:f>IF('Setup'!$B$22&gt;0,"",IF(C77=0,0,MAX(0,F77-INT(MIN('Capacity'!M72:M74)))))</x:f>
        <x:v>222641</x:v>
      </x:c>
      <x:c r="V77" s="1" t="n">
        <x:f>IF('Setup'!$B$22&gt;0,"",SUM('Capacity'!T72:T74)*C77)</x:f>
        <x:v>0</x:v>
      </x:c>
      <x:c r="W77" s="1" t="n">
        <x:f>IF('Setup'!$B$22&gt;0,"",SUM('Capacity'!W72:W74)*C77)</x:f>
        <x:v>0</x:v>
      </x:c>
    </x:row>
    <x:row r="78" ht="23" customHeight="1">
      <x:c r="A78" s="20" t="n">
        <x:f>IF('Setup'!$B$22&gt;0,"",'Demand'!A78)</x:f>
        <x:v>46372</x:v>
      </x:c>
      <x:c r="B78" s="1" t="n">
        <x:f>IF('Setup'!$B$22&gt;0,"",'Demand'!B78)</x:f>
        <x:v>11</x:v>
      </x:c>
      <x:c r="C78" s="1" t="n">
        <x:f>IF('Setup'!$B$22&gt;0,"",'Demand'!C78)</x:f>
        <x:v>1</x:v>
      </x:c>
      <x:c r="D78" s="24" t="n">
        <x:f>IF('Setup'!$B$22&gt;0,"",ROUND('Demand'!D78*'Setup'!B18,0))</x:f>
        <x:v>9600</x:v>
      </x:c>
      <x:c r="E78" s="24" t="n">
        <x:f>IF('Setup'!$B$22&gt;0,"",L77)</x:f>
        <x:v>222867</x:v>
      </x:c>
      <x:c r="F78" s="24" t="n">
        <x:f>IF('Setup'!$B$22&gt;0,"",D78+E78)</x:f>
        <x:v>232467</x:v>
      </x:c>
      <x:c r="G78" s="24" t="n">
        <x:f>IF('Setup'!$B$22&gt;0,"",'Capacity'!N72*C78)</x:f>
        <x:v>8372</x:v>
      </x:c>
      <x:c r="H78" s="24" t="n">
        <x:f>IF('Setup'!$B$22&gt;0,"",'Capacity'!N73*C78)</x:f>
        <x:v>7893</x:v>
      </x:c>
      <x:c r="I78" s="24" t="n">
        <x:f>IF('Setup'!$B$22&gt;0,"",'Capacity'!N74*C78)</x:f>
        <x:v>7774</x:v>
      </x:c>
      <x:c r="J78" s="24" t="n">
        <x:f>IF('Setup'!$B$22&gt;0,"",MIN(G78:I78))</x:f>
        <x:v>7774</x:v>
      </x:c>
      <x:c r="K78" s="24" t="n">
        <x:f>IF('Setup'!$B$22&gt;0,"",MIN(F78,J78))</x:f>
        <x:v>7774</x:v>
      </x:c>
      <x:c r="L78" s="24" t="n">
        <x:f>IF('Setup'!$B$22&gt;0,"",MAX(0,F78-K78))</x:f>
        <x:v>224693</x:v>
      </x:c>
      <x:c r="M78" s="23" t="n">
        <x:f>IF('Setup'!$B$22&gt;0,"",IF(J78=0,0,K78/J78))</x:f>
        <x:v>1</x:v>
      </x:c>
      <x:c r="N78" s="25" t="n">
        <x:f>IF('Setup'!$B$22&gt;0,"",SUM('Capacity'!Z72:Z74)*C78)</x:f>
        <x:v>11319.68</x:v>
      </x:c>
      <x:c r="O78" s="25" t="n">
        <x:f>IF('Setup'!$B$22&gt;0,"",SUM('Capacity'!Q72:Q74)*C78)</x:f>
        <x:v>1987.1999999999996</x:v>
      </x:c>
      <x:c r="P78" s="1" t="str">
        <x:f>IF('Setup'!$B$22&gt;0,"",IF(C78=0,"Closed",INDEX('Processes'!$A$6:$A$8,MATCH(J78,G78:I78,0))))</x:f>
        <x:v>Ship</x:v>
      </x:c>
      <x:c r="Q78" s="1" t="n">
        <x:f>IF('Setup'!$B$22&gt;0,"",IF(C78=0,0,MAX(0,ROUNDUP(F78/'Capacity'!X72-'Capacity'!Y72,0)-'Capacity'!G72)))</x:f>
        <x:v>750</x:v>
      </x:c>
      <x:c r="R78" s="1" t="n">
        <x:f>IF('Setup'!$B$22&gt;0,"",IF(C78=0,0,MAX(0,ROUNDUP(F78/'Capacity'!X73-'Capacity'!Y73,0)-'Capacity'!G73)))</x:f>
        <x:v>626</x:v>
      </x:c>
      <x:c r="S78" s="1" t="n">
        <x:f>IF('Setup'!$B$22&gt;0,"",IF(C78=0,0,MAX(0,ROUNDUP(F78/'Capacity'!X74-'Capacity'!Y74,0)-'Capacity'!G74)))</x:f>
        <x:v>376</x:v>
      </x:c>
      <x:c r="T78" s="1" t="str">
        <x:f>IF('Setup'!$B$22&gt;0,"",IF(C78=0,IF(L78&gt;'Setup'!$B$7,"Backlog on closed day","Closed"),IF(OR(V78&gt;0,W78&gt;0),"Resolve staffing limits",IF(U78&gt;0,"Resolve physical limit",IF(L78&gt;'Setup'!$B$7,"Close labor capacity gap",IF(L78&gt;0,"Backlog below threshold","Within daily capacity"))))))</x:f>
        <x:v>Resolve physical limit</x:v>
      </x:c>
      <x:c r="U78" s="1" t="n">
        <x:f>IF('Setup'!$B$22&gt;0,"",IF(C78=0,0,MAX(0,F78-INT(MIN('Capacity'!M72:M74)))))</x:f>
        <x:v>224467</x:v>
      </x:c>
      <x:c r="V78" s="1" t="n">
        <x:f>IF('Setup'!$B$22&gt;0,"",SUM('Capacity'!T72:T74)*C78)</x:f>
        <x:v>0</x:v>
      </x:c>
      <x:c r="W78" s="1" t="n">
        <x:f>IF('Setup'!$B$22&gt;0,"",SUM('Capacity'!W72:W74)*C78)</x:f>
        <x:v>0</x:v>
      </x:c>
    </x:row>
    <x:row r="79" ht="23" customHeight="1">
      <x:c r="A79" s="20" t="n">
        <x:f>IF('Setup'!$B$22&gt;0,"",'Demand'!A79)</x:f>
        <x:v>46373</x:v>
      </x:c>
      <x:c r="B79" s="1" t="n">
        <x:f>IF('Setup'!$B$22&gt;0,"",'Demand'!B79)</x:f>
        <x:v>11</x:v>
      </x:c>
      <x:c r="C79" s="1" t="n">
        <x:f>IF('Setup'!$B$22&gt;0,"",'Demand'!C79)</x:f>
        <x:v>1</x:v>
      </x:c>
      <x:c r="D79" s="24" t="n">
        <x:f>IF('Setup'!$B$22&gt;0,"",ROUND('Demand'!D79*'Setup'!B18,0))</x:f>
        <x:v>9600</x:v>
      </x:c>
      <x:c r="E79" s="24" t="n">
        <x:f>IF('Setup'!$B$22&gt;0,"",L78)</x:f>
        <x:v>224693</x:v>
      </x:c>
      <x:c r="F79" s="24" t="n">
        <x:f>IF('Setup'!$B$22&gt;0,"",D79+E79)</x:f>
        <x:v>234293</x:v>
      </x:c>
      <x:c r="G79" s="24" t="n">
        <x:f>IF('Setup'!$B$22&gt;0,"",'Capacity'!N72*C79)</x:f>
        <x:v>8372</x:v>
      </x:c>
      <x:c r="H79" s="24" t="n">
        <x:f>IF('Setup'!$B$22&gt;0,"",'Capacity'!N73*C79)</x:f>
        <x:v>7893</x:v>
      </x:c>
      <x:c r="I79" s="24" t="n">
        <x:f>IF('Setup'!$B$22&gt;0,"",'Capacity'!N74*C79)</x:f>
        <x:v>7774</x:v>
      </x:c>
      <x:c r="J79" s="24" t="n">
        <x:f>IF('Setup'!$B$22&gt;0,"",MIN(G79:I79))</x:f>
        <x:v>7774</x:v>
      </x:c>
      <x:c r="K79" s="24" t="n">
        <x:f>IF('Setup'!$B$22&gt;0,"",MIN(F79,J79))</x:f>
        <x:v>7774</x:v>
      </x:c>
      <x:c r="L79" s="24" t="n">
        <x:f>IF('Setup'!$B$22&gt;0,"",MAX(0,F79-K79))</x:f>
        <x:v>226519</x:v>
      </x:c>
      <x:c r="M79" s="23" t="n">
        <x:f>IF('Setup'!$B$22&gt;0,"",IF(J79=0,0,K79/J79))</x:f>
        <x:v>1</x:v>
      </x:c>
      <x:c r="N79" s="25" t="n">
        <x:f>IF('Setup'!$B$22&gt;0,"",SUM('Capacity'!Z72:Z74)*C79)</x:f>
        <x:v>11319.68</x:v>
      </x:c>
      <x:c r="O79" s="25" t="n">
        <x:f>IF('Setup'!$B$22&gt;0,"",SUM('Capacity'!Q72:Q74)*C79)</x:f>
        <x:v>1987.1999999999996</x:v>
      </x:c>
      <x:c r="P79" s="1" t="str">
        <x:f>IF('Setup'!$B$22&gt;0,"",IF(C79=0,"Closed",INDEX('Processes'!$A$6:$A$8,MATCH(J79,G79:I79,0))))</x:f>
        <x:v>Ship</x:v>
      </x:c>
      <x:c r="Q79" s="1" t="n">
        <x:f>IF('Setup'!$B$22&gt;0,"",IF(C79=0,0,MAX(0,ROUNDUP(F79/'Capacity'!X72-'Capacity'!Y72,0)-'Capacity'!G72)))</x:f>
        <x:v>756</x:v>
      </x:c>
      <x:c r="R79" s="1" t="n">
        <x:f>IF('Setup'!$B$22&gt;0,"",IF(C79=0,0,MAX(0,ROUNDUP(F79/'Capacity'!X73-'Capacity'!Y73,0)-'Capacity'!G73)))</x:f>
        <x:v>631</x:v>
      </x:c>
      <x:c r="S79" s="1" t="n">
        <x:f>IF('Setup'!$B$22&gt;0,"",IF(C79=0,0,MAX(0,ROUNDUP(F79/'Capacity'!X74-'Capacity'!Y74,0)-'Capacity'!G74)))</x:f>
        <x:v>379</x:v>
      </x:c>
      <x:c r="T79" s="1" t="str">
        <x:f>IF('Setup'!$B$22&gt;0,"",IF(C79=0,IF(L79&gt;'Setup'!$B$7,"Backlog on closed day","Closed"),IF(OR(V79&gt;0,W79&gt;0),"Resolve staffing limits",IF(U79&gt;0,"Resolve physical limit",IF(L79&gt;'Setup'!$B$7,"Close labor capacity gap",IF(L79&gt;0,"Backlog below threshold","Within daily capacity"))))))</x:f>
        <x:v>Resolve physical limit</x:v>
      </x:c>
      <x:c r="U79" s="1" t="n">
        <x:f>IF('Setup'!$B$22&gt;0,"",IF(C79=0,0,MAX(0,F79-INT(MIN('Capacity'!M72:M74)))))</x:f>
        <x:v>226293</x:v>
      </x:c>
      <x:c r="V79" s="1" t="n">
        <x:f>IF('Setup'!$B$22&gt;0,"",SUM('Capacity'!T72:T74)*C79)</x:f>
        <x:v>0</x:v>
      </x:c>
      <x:c r="W79" s="1" t="n">
        <x:f>IF('Setup'!$B$22&gt;0,"",SUM('Capacity'!W72:W74)*C79)</x:f>
        <x:v>0</x:v>
      </x:c>
    </x:row>
    <x:row r="80" ht="23" customHeight="1">
      <x:c r="A80" s="20" t="n">
        <x:f>IF('Setup'!$B$22&gt;0,"",'Demand'!A80)</x:f>
        <x:v>46374</x:v>
      </x:c>
      <x:c r="B80" s="1" t="n">
        <x:f>IF('Setup'!$B$22&gt;0,"",'Demand'!B80)</x:f>
        <x:v>11</x:v>
      </x:c>
      <x:c r="C80" s="1" t="n">
        <x:f>IF('Setup'!$B$22&gt;0,"",'Demand'!C80)</x:f>
        <x:v>1</x:v>
      </x:c>
      <x:c r="D80" s="24" t="n">
        <x:f>IF('Setup'!$B$22&gt;0,"",ROUND('Demand'!D80*'Setup'!B18,0))</x:f>
        <x:v>9600</x:v>
      </x:c>
      <x:c r="E80" s="24" t="n">
        <x:f>IF('Setup'!$B$22&gt;0,"",L79)</x:f>
        <x:v>226519</x:v>
      </x:c>
      <x:c r="F80" s="24" t="n">
        <x:f>IF('Setup'!$B$22&gt;0,"",D80+E80)</x:f>
        <x:v>236119</x:v>
      </x:c>
      <x:c r="G80" s="24" t="n">
        <x:f>IF('Setup'!$B$22&gt;0,"",'Capacity'!N72*C80)</x:f>
        <x:v>8372</x:v>
      </x:c>
      <x:c r="H80" s="24" t="n">
        <x:f>IF('Setup'!$B$22&gt;0,"",'Capacity'!N73*C80)</x:f>
        <x:v>7893</x:v>
      </x:c>
      <x:c r="I80" s="24" t="n">
        <x:f>IF('Setup'!$B$22&gt;0,"",'Capacity'!N74*C80)</x:f>
        <x:v>7774</x:v>
      </x:c>
      <x:c r="J80" s="24" t="n">
        <x:f>IF('Setup'!$B$22&gt;0,"",MIN(G80:I80))</x:f>
        <x:v>7774</x:v>
      </x:c>
      <x:c r="K80" s="24" t="n">
        <x:f>IF('Setup'!$B$22&gt;0,"",MIN(F80,J80))</x:f>
        <x:v>7774</x:v>
      </x:c>
      <x:c r="L80" s="24" t="n">
        <x:f>IF('Setup'!$B$22&gt;0,"",MAX(0,F80-K80))</x:f>
        <x:v>228345</x:v>
      </x:c>
      <x:c r="M80" s="23" t="n">
        <x:f>IF('Setup'!$B$22&gt;0,"",IF(J80=0,0,K80/J80))</x:f>
        <x:v>1</x:v>
      </x:c>
      <x:c r="N80" s="25" t="n">
        <x:f>IF('Setup'!$B$22&gt;0,"",SUM('Capacity'!Z72:Z74)*C80)</x:f>
        <x:v>11319.68</x:v>
      </x:c>
      <x:c r="O80" s="25" t="n">
        <x:f>IF('Setup'!$B$22&gt;0,"",SUM('Capacity'!Q72:Q74)*C80)</x:f>
        <x:v>1987.1999999999996</x:v>
      </x:c>
      <x:c r="P80" s="1" t="str">
        <x:f>IF('Setup'!$B$22&gt;0,"",IF(C80=0,"Closed",INDEX('Processes'!$A$6:$A$8,MATCH(J80,G80:I80,0))))</x:f>
        <x:v>Ship</x:v>
      </x:c>
      <x:c r="Q80" s="1" t="n">
        <x:f>IF('Setup'!$B$22&gt;0,"",IF(C80=0,0,MAX(0,ROUNDUP(F80/'Capacity'!X72-'Capacity'!Y72,0)-'Capacity'!G72)))</x:f>
        <x:v>762</x:v>
      </x:c>
      <x:c r="R80" s="1" t="n">
        <x:f>IF('Setup'!$B$22&gt;0,"",IF(C80=0,0,MAX(0,ROUNDUP(F80/'Capacity'!X73-'Capacity'!Y73,0)-'Capacity'!G73)))</x:f>
        <x:v>637</x:v>
      </x:c>
      <x:c r="S80" s="1" t="n">
        <x:f>IF('Setup'!$B$22&gt;0,"",IF(C80=0,0,MAX(0,ROUNDUP(F80/'Capacity'!X74-'Capacity'!Y74,0)-'Capacity'!G74)))</x:f>
        <x:v>382</x:v>
      </x:c>
      <x:c r="T80" s="1" t="str">
        <x:f>IF('Setup'!$B$22&gt;0,"",IF(C80=0,IF(L80&gt;'Setup'!$B$7,"Backlog on closed day","Closed"),IF(OR(V80&gt;0,W80&gt;0),"Resolve staffing limits",IF(U80&gt;0,"Resolve physical limit",IF(L80&gt;'Setup'!$B$7,"Close labor capacity gap",IF(L80&gt;0,"Backlog below threshold","Within daily capacity"))))))</x:f>
        <x:v>Resolve physical limit</x:v>
      </x:c>
      <x:c r="U80" s="1" t="n">
        <x:f>IF('Setup'!$B$22&gt;0,"",IF(C80=0,0,MAX(0,F80-INT(MIN('Capacity'!M72:M74)))))</x:f>
        <x:v>228119</x:v>
      </x:c>
      <x:c r="V80" s="1" t="n">
        <x:f>IF('Setup'!$B$22&gt;0,"",SUM('Capacity'!T72:T74)*C80)</x:f>
        <x:v>0</x:v>
      </x:c>
      <x:c r="W80" s="1" t="n">
        <x:f>IF('Setup'!$B$22&gt;0,"",SUM('Capacity'!W72:W74)*C80)</x:f>
        <x:v>0</x:v>
      </x:c>
    </x:row>
    <x:row r="81" ht="23" customHeight="1">
      <x:c r="A81" s="20" t="n">
        <x:f>IF('Setup'!$B$22&gt;0,"",'Demand'!A81)</x:f>
        <x:v>46375</x:v>
      </x:c>
      <x:c r="B81" s="1" t="n">
        <x:f>IF('Setup'!$B$22&gt;0,"",'Demand'!B81)</x:f>
        <x:v>11</x:v>
      </x:c>
      <x:c r="C81" s="1" t="n">
        <x:f>IF('Setup'!$B$22&gt;0,"",'Demand'!C81)</x:f>
        <x:v>0</x:v>
      </x:c>
      <x:c r="D81" s="24" t="n">
        <x:f>IF('Setup'!$B$22&gt;0,"",ROUND('Demand'!D81*'Setup'!B18,0))</x:f>
        <x:v>0</x:v>
      </x:c>
      <x:c r="E81" s="24" t="n">
        <x:f>IF('Setup'!$B$22&gt;0,"",L80)</x:f>
        <x:v>228345</x:v>
      </x:c>
      <x:c r="F81" s="24" t="n">
        <x:f>IF('Setup'!$B$22&gt;0,"",D81+E81)</x:f>
        <x:v>228345</x:v>
      </x:c>
      <x:c r="G81" s="24" t="n">
        <x:f>IF('Setup'!$B$22&gt;0,"",'Capacity'!N72*C81)</x:f>
        <x:v>0</x:v>
      </x:c>
      <x:c r="H81" s="24" t="n">
        <x:f>IF('Setup'!$B$22&gt;0,"",'Capacity'!N73*C81)</x:f>
        <x:v>0</x:v>
      </x:c>
      <x:c r="I81" s="24" t="n">
        <x:f>IF('Setup'!$B$22&gt;0,"",'Capacity'!N74*C81)</x:f>
        <x:v>0</x:v>
      </x:c>
      <x:c r="J81" s="24" t="n">
        <x:f>IF('Setup'!$B$22&gt;0,"",MIN(G81:I81))</x:f>
        <x:v>0</x:v>
      </x:c>
      <x:c r="K81" s="24" t="n">
        <x:f>IF('Setup'!$B$22&gt;0,"",MIN(F81,J81))</x:f>
        <x:v>0</x:v>
      </x:c>
      <x:c r="L81" s="24" t="n">
        <x:f>IF('Setup'!$B$22&gt;0,"",MAX(0,F81-K81))</x:f>
        <x:v>228345</x:v>
      </x:c>
      <x:c r="M81" s="23" t="n">
        <x:f>IF('Setup'!$B$22&gt;0,"",IF(J81=0,0,K81/J81))</x:f>
        <x:v>0</x:v>
      </x:c>
      <x:c r="N81" s="25" t="n">
        <x:f>IF('Setup'!$B$22&gt;0,"",SUM('Capacity'!Z72:Z74)*C81)</x:f>
        <x:v>0</x:v>
      </x:c>
      <x:c r="O81" s="25" t="n">
        <x:f>IF('Setup'!$B$22&gt;0,"",SUM('Capacity'!Q72:Q74)*C81)</x:f>
        <x:v>0</x:v>
      </x:c>
      <x:c r="P81" s="1" t="str">
        <x:f>IF('Setup'!$B$22&gt;0,"",IF(C81=0,"Closed",INDEX('Processes'!$A$6:$A$8,MATCH(J81,G81:I81,0))))</x:f>
        <x:v>Closed</x:v>
      </x:c>
      <x:c r="Q81" s="1" t="n">
        <x:f>IF('Setup'!$B$22&gt;0,"",IF(C81=0,0,MAX(0,ROUNDUP(F81/'Capacity'!X72-'Capacity'!Y72,0)-'Capacity'!G72)))</x:f>
        <x:v>0</x:v>
      </x:c>
      <x:c r="R81" s="1" t="n">
        <x:f>IF('Setup'!$B$22&gt;0,"",IF(C81=0,0,MAX(0,ROUNDUP(F81/'Capacity'!X73-'Capacity'!Y73,0)-'Capacity'!G73)))</x:f>
        <x:v>0</x:v>
      </x:c>
      <x:c r="S81" s="1" t="n">
        <x:f>IF('Setup'!$B$22&gt;0,"",IF(C81=0,0,MAX(0,ROUNDUP(F81/'Capacity'!X74-'Capacity'!Y74,0)-'Capacity'!G74)))</x:f>
        <x:v>0</x:v>
      </x:c>
      <x:c r="T81" s="1" t="str">
        <x:f>IF('Setup'!$B$22&gt;0,"",IF(C81=0,IF(L81&gt;'Setup'!$B$7,"Backlog on closed day","Closed"),IF(OR(V81&gt;0,W81&gt;0),"Resolve staffing limits",IF(U81&gt;0,"Resolve physical limit",IF(L81&gt;'Setup'!$B$7,"Close labor capacity gap",IF(L81&gt;0,"Backlog below threshold","Within daily capacity"))))))</x:f>
        <x:v>Backlog on closed day</x:v>
      </x:c>
      <x:c r="U81" s="1" t="n">
        <x:f>IF('Setup'!$B$22&gt;0,"",IF(C81=0,0,MAX(0,F81-INT(MIN('Capacity'!M72:M74)))))</x:f>
        <x:v>0</x:v>
      </x:c>
      <x:c r="V81" s="1" t="n">
        <x:f>IF('Setup'!$B$22&gt;0,"",SUM('Capacity'!T72:T74)*C81)</x:f>
        <x:v>0</x:v>
      </x:c>
      <x:c r="W81" s="1" t="n">
        <x:f>IF('Setup'!$B$22&gt;0,"",SUM('Capacity'!W72:W74)*C81)</x:f>
        <x:v>0</x:v>
      </x:c>
    </x:row>
    <x:row r="82" ht="23" customHeight="1">
      <x:c r="A82" s="20" t="n">
        <x:f>IF('Setup'!$B$22&gt;0,"",'Demand'!A82)</x:f>
        <x:v>46376</x:v>
      </x:c>
      <x:c r="B82" s="1" t="n">
        <x:f>IF('Setup'!$B$22&gt;0,"",'Demand'!B82)</x:f>
        <x:v>11</x:v>
      </x:c>
      <x:c r="C82" s="1" t="n">
        <x:f>IF('Setup'!$B$22&gt;0,"",'Demand'!C82)</x:f>
        <x:v>0</x:v>
      </x:c>
      <x:c r="D82" s="24" t="n">
        <x:f>IF('Setup'!$B$22&gt;0,"",ROUND('Demand'!D82*'Setup'!B18,0))</x:f>
        <x:v>0</x:v>
      </x:c>
      <x:c r="E82" s="24" t="n">
        <x:f>IF('Setup'!$B$22&gt;0,"",L81)</x:f>
        <x:v>228345</x:v>
      </x:c>
      <x:c r="F82" s="24" t="n">
        <x:f>IF('Setup'!$B$22&gt;0,"",D82+E82)</x:f>
        <x:v>228345</x:v>
      </x:c>
      <x:c r="G82" s="24" t="n">
        <x:f>IF('Setup'!$B$22&gt;0,"",'Capacity'!N72*C82)</x:f>
        <x:v>0</x:v>
      </x:c>
      <x:c r="H82" s="24" t="n">
        <x:f>IF('Setup'!$B$22&gt;0,"",'Capacity'!N73*C82)</x:f>
        <x:v>0</x:v>
      </x:c>
      <x:c r="I82" s="24" t="n">
        <x:f>IF('Setup'!$B$22&gt;0,"",'Capacity'!N74*C82)</x:f>
        <x:v>0</x:v>
      </x:c>
      <x:c r="J82" s="24" t="n">
        <x:f>IF('Setup'!$B$22&gt;0,"",MIN(G82:I82))</x:f>
        <x:v>0</x:v>
      </x:c>
      <x:c r="K82" s="24" t="n">
        <x:f>IF('Setup'!$B$22&gt;0,"",MIN(F82,J82))</x:f>
        <x:v>0</x:v>
      </x:c>
      <x:c r="L82" s="24" t="n">
        <x:f>IF('Setup'!$B$22&gt;0,"",MAX(0,F82-K82))</x:f>
        <x:v>228345</x:v>
      </x:c>
      <x:c r="M82" s="23" t="n">
        <x:f>IF('Setup'!$B$22&gt;0,"",IF(J82=0,0,K82/J82))</x:f>
        <x:v>0</x:v>
      </x:c>
      <x:c r="N82" s="25" t="n">
        <x:f>IF('Setup'!$B$22&gt;0,"",SUM('Capacity'!Z72:Z74)*C82)</x:f>
        <x:v>0</x:v>
      </x:c>
      <x:c r="O82" s="25" t="n">
        <x:f>IF('Setup'!$B$22&gt;0,"",SUM('Capacity'!Q72:Q74)*C82)</x:f>
        <x:v>0</x:v>
      </x:c>
      <x:c r="P82" s="1" t="str">
        <x:f>IF('Setup'!$B$22&gt;0,"",IF(C82=0,"Closed",INDEX('Processes'!$A$6:$A$8,MATCH(J82,G82:I82,0))))</x:f>
        <x:v>Closed</x:v>
      </x:c>
      <x:c r="Q82" s="1" t="n">
        <x:f>IF('Setup'!$B$22&gt;0,"",IF(C82=0,0,MAX(0,ROUNDUP(F82/'Capacity'!X72-'Capacity'!Y72,0)-'Capacity'!G72)))</x:f>
        <x:v>0</x:v>
      </x:c>
      <x:c r="R82" s="1" t="n">
        <x:f>IF('Setup'!$B$22&gt;0,"",IF(C82=0,0,MAX(0,ROUNDUP(F82/'Capacity'!X73-'Capacity'!Y73,0)-'Capacity'!G73)))</x:f>
        <x:v>0</x:v>
      </x:c>
      <x:c r="S82" s="1" t="n">
        <x:f>IF('Setup'!$B$22&gt;0,"",IF(C82=0,0,MAX(0,ROUNDUP(F82/'Capacity'!X74-'Capacity'!Y74,0)-'Capacity'!G74)))</x:f>
        <x:v>0</x:v>
      </x:c>
      <x:c r="T82" s="1" t="str">
        <x:f>IF('Setup'!$B$22&gt;0,"",IF(C82=0,IF(L82&gt;'Setup'!$B$7,"Backlog on closed day","Closed"),IF(OR(V82&gt;0,W82&gt;0),"Resolve staffing limits",IF(U82&gt;0,"Resolve physical limit",IF(L82&gt;'Setup'!$B$7,"Close labor capacity gap",IF(L82&gt;0,"Backlog below threshold","Within daily capacity"))))))</x:f>
        <x:v>Backlog on closed day</x:v>
      </x:c>
      <x:c r="U82" s="1" t="n">
        <x:f>IF('Setup'!$B$22&gt;0,"",IF(C82=0,0,MAX(0,F82-INT(MIN('Capacity'!M72:M74)))))</x:f>
        <x:v>0</x:v>
      </x:c>
      <x:c r="V82" s="1" t="n">
        <x:f>IF('Setup'!$B$22&gt;0,"",SUM('Capacity'!T72:T74)*C82)</x:f>
        <x:v>0</x:v>
      </x:c>
      <x:c r="W82" s="1" t="n">
        <x:f>IF('Setup'!$B$22&gt;0,"",SUM('Capacity'!W72:W74)*C82)</x:f>
        <x:v>0</x:v>
      </x:c>
    </x:row>
    <x:row r="83" ht="23" customHeight="1">
      <x:c r="A83" s="20" t="n">
        <x:f>IF('Setup'!$B$22&gt;0,"",'Demand'!A83)</x:f>
        <x:v>46377</x:v>
      </x:c>
      <x:c r="B83" s="1" t="n">
        <x:f>IF('Setup'!$B$22&gt;0,"",'Demand'!B83)</x:f>
        <x:v>12</x:v>
      </x:c>
      <x:c r="C83" s="1" t="n">
        <x:f>IF('Setup'!$B$22&gt;0,"",'Demand'!C83)</x:f>
        <x:v>1</x:v>
      </x:c>
      <x:c r="D83" s="24" t="n">
        <x:f>IF('Setup'!$B$22&gt;0,"",ROUND('Demand'!D83*'Setup'!B18,0))</x:f>
        <x:v>7800</x:v>
      </x:c>
      <x:c r="E83" s="24" t="n">
        <x:f>IF('Setup'!$B$22&gt;0,"",L82)</x:f>
        <x:v>228345</x:v>
      </x:c>
      <x:c r="F83" s="24" t="n">
        <x:f>IF('Setup'!$B$22&gt;0,"",D83+E83)</x:f>
        <x:v>236145</x:v>
      </x:c>
      <x:c r="G83" s="24" t="n">
        <x:f>IF('Setup'!$B$22&gt;0,"",'Capacity'!N75*C83)</x:f>
        <x:v>8372</x:v>
      </x:c>
      <x:c r="H83" s="24" t="n">
        <x:f>IF('Setup'!$B$22&gt;0,"",'Capacity'!N76*C83)</x:f>
        <x:v>7893</x:v>
      </x:c>
      <x:c r="I83" s="24" t="n">
        <x:f>IF('Setup'!$B$22&gt;0,"",'Capacity'!N77*C83)</x:f>
        <x:v>7774</x:v>
      </x:c>
      <x:c r="J83" s="24" t="n">
        <x:f>IF('Setup'!$B$22&gt;0,"",MIN(G83:I83))</x:f>
        <x:v>7774</x:v>
      </x:c>
      <x:c r="K83" s="24" t="n">
        <x:f>IF('Setup'!$B$22&gt;0,"",MIN(F83,J83))</x:f>
        <x:v>7774</x:v>
      </x:c>
      <x:c r="L83" s="24" t="n">
        <x:f>IF('Setup'!$B$22&gt;0,"",MAX(0,F83-K83))</x:f>
        <x:v>228371</x:v>
      </x:c>
      <x:c r="M83" s="23" t="n">
        <x:f>IF('Setup'!$B$22&gt;0,"",IF(J83=0,0,K83/J83))</x:f>
        <x:v>1</x:v>
      </x:c>
      <x:c r="N83" s="25" t="n">
        <x:f>IF('Setup'!$B$22&gt;0,"",SUM('Capacity'!Z75:Z77)*C83)</x:f>
        <x:v>11319.68</x:v>
      </x:c>
      <x:c r="O83" s="25" t="n">
        <x:f>IF('Setup'!$B$22&gt;0,"",SUM('Capacity'!Q75:Q77)*C83)</x:f>
        <x:v>1987.1999999999996</x:v>
      </x:c>
      <x:c r="P83" s="1" t="str">
        <x:f>IF('Setup'!$B$22&gt;0,"",IF(C83=0,"Closed",INDEX('Processes'!$A$6:$A$8,MATCH(J83,G83:I83,0))))</x:f>
        <x:v>Ship</x:v>
      </x:c>
      <x:c r="Q83" s="1" t="n">
        <x:f>IF('Setup'!$B$22&gt;0,"",IF(C83=0,0,MAX(0,ROUNDUP(F83/'Capacity'!X75-'Capacity'!Y75,0)-'Capacity'!G75)))</x:f>
        <x:v>762</x:v>
      </x:c>
      <x:c r="R83" s="1" t="n">
        <x:f>IF('Setup'!$B$22&gt;0,"",IF(C83=0,0,MAX(0,ROUNDUP(F83/'Capacity'!X76-'Capacity'!Y76,0)-'Capacity'!G76)))</x:f>
        <x:v>637</x:v>
      </x:c>
      <x:c r="S83" s="1" t="n">
        <x:f>IF('Setup'!$B$22&gt;0,"",IF(C83=0,0,MAX(0,ROUNDUP(F83/'Capacity'!X77-'Capacity'!Y77,0)-'Capacity'!G77)))</x:f>
        <x:v>382</x:v>
      </x:c>
      <x:c r="T83" s="1" t="str">
        <x:f>IF('Setup'!$B$22&gt;0,"",IF(C83=0,IF(L83&gt;'Setup'!$B$7,"Backlog on closed day","Closed"),IF(OR(V83&gt;0,W83&gt;0),"Resolve staffing limits",IF(U83&gt;0,"Resolve physical limit",IF(L83&gt;'Setup'!$B$7,"Close labor capacity gap",IF(L83&gt;0,"Backlog below threshold","Within daily capacity"))))))</x:f>
        <x:v>Resolve physical limit</x:v>
      </x:c>
      <x:c r="U83" s="1" t="n">
        <x:f>IF('Setup'!$B$22&gt;0,"",IF(C83=0,0,MAX(0,F83-INT(MIN('Capacity'!M75:M77)))))</x:f>
        <x:v>228145</x:v>
      </x:c>
      <x:c r="V83" s="1" t="n">
        <x:f>IF('Setup'!$B$22&gt;0,"",SUM('Capacity'!T75:T77)*C83)</x:f>
        <x:v>0</x:v>
      </x:c>
      <x:c r="W83" s="1" t="n">
        <x:f>IF('Setup'!$B$22&gt;0,"",SUM('Capacity'!W75:W77)*C83)</x:f>
        <x:v>0</x:v>
      </x:c>
    </x:row>
    <x:row r="84" ht="23" customHeight="1">
      <x:c r="A84" s="20" t="n">
        <x:f>IF('Setup'!$B$22&gt;0,"",'Demand'!A84)</x:f>
        <x:v>46378</x:v>
      </x:c>
      <x:c r="B84" s="1" t="n">
        <x:f>IF('Setup'!$B$22&gt;0,"",'Demand'!B84)</x:f>
        <x:v>12</x:v>
      </x:c>
      <x:c r="C84" s="1" t="n">
        <x:f>IF('Setup'!$B$22&gt;0,"",'Demand'!C84)</x:f>
        <x:v>1</x:v>
      </x:c>
      <x:c r="D84" s="24" t="n">
        <x:f>IF('Setup'!$B$22&gt;0,"",ROUND('Demand'!D84*'Setup'!B18,0))</x:f>
        <x:v>7800</x:v>
      </x:c>
      <x:c r="E84" s="24" t="n">
        <x:f>IF('Setup'!$B$22&gt;0,"",L83)</x:f>
        <x:v>228371</x:v>
      </x:c>
      <x:c r="F84" s="24" t="n">
        <x:f>IF('Setup'!$B$22&gt;0,"",D84+E84)</x:f>
        <x:v>236171</x:v>
      </x:c>
      <x:c r="G84" s="24" t="n">
        <x:f>IF('Setup'!$B$22&gt;0,"",'Capacity'!N75*C84)</x:f>
        <x:v>8372</x:v>
      </x:c>
      <x:c r="H84" s="24" t="n">
        <x:f>IF('Setup'!$B$22&gt;0,"",'Capacity'!N76*C84)</x:f>
        <x:v>7893</x:v>
      </x:c>
      <x:c r="I84" s="24" t="n">
        <x:f>IF('Setup'!$B$22&gt;0,"",'Capacity'!N77*C84)</x:f>
        <x:v>7774</x:v>
      </x:c>
      <x:c r="J84" s="24" t="n">
        <x:f>IF('Setup'!$B$22&gt;0,"",MIN(G84:I84))</x:f>
        <x:v>7774</x:v>
      </x:c>
      <x:c r="K84" s="24" t="n">
        <x:f>IF('Setup'!$B$22&gt;0,"",MIN(F84,J84))</x:f>
        <x:v>7774</x:v>
      </x:c>
      <x:c r="L84" s="24" t="n">
        <x:f>IF('Setup'!$B$22&gt;0,"",MAX(0,F84-K84))</x:f>
        <x:v>228397</x:v>
      </x:c>
      <x:c r="M84" s="23" t="n">
        <x:f>IF('Setup'!$B$22&gt;0,"",IF(J84=0,0,K84/J84))</x:f>
        <x:v>1</x:v>
      </x:c>
      <x:c r="N84" s="25" t="n">
        <x:f>IF('Setup'!$B$22&gt;0,"",SUM('Capacity'!Z75:Z77)*C84)</x:f>
        <x:v>11319.68</x:v>
      </x:c>
      <x:c r="O84" s="25" t="n">
        <x:f>IF('Setup'!$B$22&gt;0,"",SUM('Capacity'!Q75:Q77)*C84)</x:f>
        <x:v>1987.1999999999996</x:v>
      </x:c>
      <x:c r="P84" s="1" t="str">
        <x:f>IF('Setup'!$B$22&gt;0,"",IF(C84=0,"Closed",INDEX('Processes'!$A$6:$A$8,MATCH(J84,G84:I84,0))))</x:f>
        <x:v>Ship</x:v>
      </x:c>
      <x:c r="Q84" s="1" t="n">
        <x:f>IF('Setup'!$B$22&gt;0,"",IF(C84=0,0,MAX(0,ROUNDUP(F84/'Capacity'!X75-'Capacity'!Y75,0)-'Capacity'!G75)))</x:f>
        <x:v>762</x:v>
      </x:c>
      <x:c r="R84" s="1" t="n">
        <x:f>IF('Setup'!$B$22&gt;0,"",IF(C84=0,0,MAX(0,ROUNDUP(F84/'Capacity'!X76-'Capacity'!Y76,0)-'Capacity'!G76)))</x:f>
        <x:v>637</x:v>
      </x:c>
      <x:c r="S84" s="1" t="n">
        <x:f>IF('Setup'!$B$22&gt;0,"",IF(C84=0,0,MAX(0,ROUNDUP(F84/'Capacity'!X77-'Capacity'!Y77,0)-'Capacity'!G77)))</x:f>
        <x:v>382</x:v>
      </x:c>
      <x:c r="T84" s="1" t="str">
        <x:f>IF('Setup'!$B$22&gt;0,"",IF(C84=0,IF(L84&gt;'Setup'!$B$7,"Backlog on closed day","Closed"),IF(OR(V84&gt;0,W84&gt;0),"Resolve staffing limits",IF(U84&gt;0,"Resolve physical limit",IF(L84&gt;'Setup'!$B$7,"Close labor capacity gap",IF(L84&gt;0,"Backlog below threshold","Within daily capacity"))))))</x:f>
        <x:v>Resolve physical limit</x:v>
      </x:c>
      <x:c r="U84" s="1" t="n">
        <x:f>IF('Setup'!$B$22&gt;0,"",IF(C84=0,0,MAX(0,F84-INT(MIN('Capacity'!M75:M77)))))</x:f>
        <x:v>228171</x:v>
      </x:c>
      <x:c r="V84" s="1" t="n">
        <x:f>IF('Setup'!$B$22&gt;0,"",SUM('Capacity'!T75:T77)*C84)</x:f>
        <x:v>0</x:v>
      </x:c>
      <x:c r="W84" s="1" t="n">
        <x:f>IF('Setup'!$B$22&gt;0,"",SUM('Capacity'!W75:W77)*C84)</x:f>
        <x:v>0</x:v>
      </x:c>
    </x:row>
    <x:row r="85" ht="23" customHeight="1">
      <x:c r="A85" s="20" t="n">
        <x:f>IF('Setup'!$B$22&gt;0,"",'Demand'!A85)</x:f>
        <x:v>46379</x:v>
      </x:c>
      <x:c r="B85" s="1" t="n">
        <x:f>IF('Setup'!$B$22&gt;0,"",'Demand'!B85)</x:f>
        <x:v>12</x:v>
      </x:c>
      <x:c r="C85" s="1" t="n">
        <x:f>IF('Setup'!$B$22&gt;0,"",'Demand'!C85)</x:f>
        <x:v>1</x:v>
      </x:c>
      <x:c r="D85" s="24" t="n">
        <x:f>IF('Setup'!$B$22&gt;0,"",ROUND('Demand'!D85*'Setup'!B18,0))</x:f>
        <x:v>7800</x:v>
      </x:c>
      <x:c r="E85" s="24" t="n">
        <x:f>IF('Setup'!$B$22&gt;0,"",L84)</x:f>
        <x:v>228397</x:v>
      </x:c>
      <x:c r="F85" s="24" t="n">
        <x:f>IF('Setup'!$B$22&gt;0,"",D85+E85)</x:f>
        <x:v>236197</x:v>
      </x:c>
      <x:c r="G85" s="24" t="n">
        <x:f>IF('Setup'!$B$22&gt;0,"",'Capacity'!N75*C85)</x:f>
        <x:v>8372</x:v>
      </x:c>
      <x:c r="H85" s="24" t="n">
        <x:f>IF('Setup'!$B$22&gt;0,"",'Capacity'!N76*C85)</x:f>
        <x:v>7893</x:v>
      </x:c>
      <x:c r="I85" s="24" t="n">
        <x:f>IF('Setup'!$B$22&gt;0,"",'Capacity'!N77*C85)</x:f>
        <x:v>7774</x:v>
      </x:c>
      <x:c r="J85" s="24" t="n">
        <x:f>IF('Setup'!$B$22&gt;0,"",MIN(G85:I85))</x:f>
        <x:v>7774</x:v>
      </x:c>
      <x:c r="K85" s="24" t="n">
        <x:f>IF('Setup'!$B$22&gt;0,"",MIN(F85,J85))</x:f>
        <x:v>7774</x:v>
      </x:c>
      <x:c r="L85" s="24" t="n">
        <x:f>IF('Setup'!$B$22&gt;0,"",MAX(0,F85-K85))</x:f>
        <x:v>228423</x:v>
      </x:c>
      <x:c r="M85" s="23" t="n">
        <x:f>IF('Setup'!$B$22&gt;0,"",IF(J85=0,0,K85/J85))</x:f>
        <x:v>1</x:v>
      </x:c>
      <x:c r="N85" s="25" t="n">
        <x:f>IF('Setup'!$B$22&gt;0,"",SUM('Capacity'!Z75:Z77)*C85)</x:f>
        <x:v>11319.68</x:v>
      </x:c>
      <x:c r="O85" s="25" t="n">
        <x:f>IF('Setup'!$B$22&gt;0,"",SUM('Capacity'!Q75:Q77)*C85)</x:f>
        <x:v>1987.1999999999996</x:v>
      </x:c>
      <x:c r="P85" s="1" t="str">
        <x:f>IF('Setup'!$B$22&gt;0,"",IF(C85=0,"Closed",INDEX('Processes'!$A$6:$A$8,MATCH(J85,G85:I85,0))))</x:f>
        <x:v>Ship</x:v>
      </x:c>
      <x:c r="Q85" s="1" t="n">
        <x:f>IF('Setup'!$B$22&gt;0,"",IF(C85=0,0,MAX(0,ROUNDUP(F85/'Capacity'!X75-'Capacity'!Y75,0)-'Capacity'!G75)))</x:f>
        <x:v>762</x:v>
      </x:c>
      <x:c r="R85" s="1" t="n">
        <x:f>IF('Setup'!$B$22&gt;0,"",IF(C85=0,0,MAX(0,ROUNDUP(F85/'Capacity'!X76-'Capacity'!Y76,0)-'Capacity'!G76)))</x:f>
        <x:v>637</x:v>
      </x:c>
      <x:c r="S85" s="1" t="n">
        <x:f>IF('Setup'!$B$22&gt;0,"",IF(C85=0,0,MAX(0,ROUNDUP(F85/'Capacity'!X77-'Capacity'!Y77,0)-'Capacity'!G77)))</x:f>
        <x:v>382</x:v>
      </x:c>
      <x:c r="T85" s="1" t="str">
        <x:f>IF('Setup'!$B$22&gt;0,"",IF(C85=0,IF(L85&gt;'Setup'!$B$7,"Backlog on closed day","Closed"),IF(OR(V85&gt;0,W85&gt;0),"Resolve staffing limits",IF(U85&gt;0,"Resolve physical limit",IF(L85&gt;'Setup'!$B$7,"Close labor capacity gap",IF(L85&gt;0,"Backlog below threshold","Within daily capacity"))))))</x:f>
        <x:v>Resolve physical limit</x:v>
      </x:c>
      <x:c r="U85" s="1" t="n">
        <x:f>IF('Setup'!$B$22&gt;0,"",IF(C85=0,0,MAX(0,F85-INT(MIN('Capacity'!M75:M77)))))</x:f>
        <x:v>228197</x:v>
      </x:c>
      <x:c r="V85" s="1" t="n">
        <x:f>IF('Setup'!$B$22&gt;0,"",SUM('Capacity'!T75:T77)*C85)</x:f>
        <x:v>0</x:v>
      </x:c>
      <x:c r="W85" s="1" t="n">
        <x:f>IF('Setup'!$B$22&gt;0,"",SUM('Capacity'!W75:W77)*C85)</x:f>
        <x:v>0</x:v>
      </x:c>
    </x:row>
    <x:row r="86" ht="23" customHeight="1">
      <x:c r="A86" s="20" t="n">
        <x:f>IF('Setup'!$B$22&gt;0,"",'Demand'!A86)</x:f>
        <x:v>46380</x:v>
      </x:c>
      <x:c r="B86" s="1" t="n">
        <x:f>IF('Setup'!$B$22&gt;0,"",'Demand'!B86)</x:f>
        <x:v>12</x:v>
      </x:c>
      <x:c r="C86" s="1" t="n">
        <x:f>IF('Setup'!$B$22&gt;0,"",'Demand'!C86)</x:f>
        <x:v>1</x:v>
      </x:c>
      <x:c r="D86" s="24" t="n">
        <x:f>IF('Setup'!$B$22&gt;0,"",ROUND('Demand'!D86*'Setup'!B18,0))</x:f>
        <x:v>7800</x:v>
      </x:c>
      <x:c r="E86" s="24" t="n">
        <x:f>IF('Setup'!$B$22&gt;0,"",L85)</x:f>
        <x:v>228423</x:v>
      </x:c>
      <x:c r="F86" s="24" t="n">
        <x:f>IF('Setup'!$B$22&gt;0,"",D86+E86)</x:f>
        <x:v>236223</x:v>
      </x:c>
      <x:c r="G86" s="24" t="n">
        <x:f>IF('Setup'!$B$22&gt;0,"",'Capacity'!N75*C86)</x:f>
        <x:v>8372</x:v>
      </x:c>
      <x:c r="H86" s="24" t="n">
        <x:f>IF('Setup'!$B$22&gt;0,"",'Capacity'!N76*C86)</x:f>
        <x:v>7893</x:v>
      </x:c>
      <x:c r="I86" s="24" t="n">
        <x:f>IF('Setup'!$B$22&gt;0,"",'Capacity'!N77*C86)</x:f>
        <x:v>7774</x:v>
      </x:c>
      <x:c r="J86" s="24" t="n">
        <x:f>IF('Setup'!$B$22&gt;0,"",MIN(G86:I86))</x:f>
        <x:v>7774</x:v>
      </x:c>
      <x:c r="K86" s="24" t="n">
        <x:f>IF('Setup'!$B$22&gt;0,"",MIN(F86,J86))</x:f>
        <x:v>7774</x:v>
      </x:c>
      <x:c r="L86" s="24" t="n">
        <x:f>IF('Setup'!$B$22&gt;0,"",MAX(0,F86-K86))</x:f>
        <x:v>228449</x:v>
      </x:c>
      <x:c r="M86" s="23" t="n">
        <x:f>IF('Setup'!$B$22&gt;0,"",IF(J86=0,0,K86/J86))</x:f>
        <x:v>1</x:v>
      </x:c>
      <x:c r="N86" s="25" t="n">
        <x:f>IF('Setup'!$B$22&gt;0,"",SUM('Capacity'!Z75:Z77)*C86)</x:f>
        <x:v>11319.68</x:v>
      </x:c>
      <x:c r="O86" s="25" t="n">
        <x:f>IF('Setup'!$B$22&gt;0,"",SUM('Capacity'!Q75:Q77)*C86)</x:f>
        <x:v>1987.1999999999996</x:v>
      </x:c>
      <x:c r="P86" s="1" t="str">
        <x:f>IF('Setup'!$B$22&gt;0,"",IF(C86=0,"Closed",INDEX('Processes'!$A$6:$A$8,MATCH(J86,G86:I86,0))))</x:f>
        <x:v>Ship</x:v>
      </x:c>
      <x:c r="Q86" s="1" t="n">
        <x:f>IF('Setup'!$B$22&gt;0,"",IF(C86=0,0,MAX(0,ROUNDUP(F86/'Capacity'!X75-'Capacity'!Y75,0)-'Capacity'!G75)))</x:f>
        <x:v>763</x:v>
      </x:c>
      <x:c r="R86" s="1" t="n">
        <x:f>IF('Setup'!$B$22&gt;0,"",IF(C86=0,0,MAX(0,ROUNDUP(F86/'Capacity'!X76-'Capacity'!Y76,0)-'Capacity'!G76)))</x:f>
        <x:v>637</x:v>
      </x:c>
      <x:c r="S86" s="1" t="n">
        <x:f>IF('Setup'!$B$22&gt;0,"",IF(C86=0,0,MAX(0,ROUNDUP(F86/'Capacity'!X77-'Capacity'!Y77,0)-'Capacity'!G77)))</x:f>
        <x:v>383</x:v>
      </x:c>
      <x:c r="T86" s="1" t="str">
        <x:f>IF('Setup'!$B$22&gt;0,"",IF(C86=0,IF(L86&gt;'Setup'!$B$7,"Backlog on closed day","Closed"),IF(OR(V86&gt;0,W86&gt;0),"Resolve staffing limits",IF(U86&gt;0,"Resolve physical limit",IF(L86&gt;'Setup'!$B$7,"Close labor capacity gap",IF(L86&gt;0,"Backlog below threshold","Within daily capacity"))))))</x:f>
        <x:v>Resolve physical limit</x:v>
      </x:c>
      <x:c r="U86" s="1" t="n">
        <x:f>IF('Setup'!$B$22&gt;0,"",IF(C86=0,0,MAX(0,F86-INT(MIN('Capacity'!M75:M77)))))</x:f>
        <x:v>228223</x:v>
      </x:c>
      <x:c r="V86" s="1" t="n">
        <x:f>IF('Setup'!$B$22&gt;0,"",SUM('Capacity'!T75:T77)*C86)</x:f>
        <x:v>0</x:v>
      </x:c>
      <x:c r="W86" s="1" t="n">
        <x:f>IF('Setup'!$B$22&gt;0,"",SUM('Capacity'!W75:W77)*C86)</x:f>
        <x:v>0</x:v>
      </x:c>
    </x:row>
    <x:row r="87" ht="23" customHeight="1">
      <x:c r="A87" s="20" t="n">
        <x:f>IF('Setup'!$B$22&gt;0,"",'Demand'!A87)</x:f>
        <x:v>46381</x:v>
      </x:c>
      <x:c r="B87" s="1" t="n">
        <x:f>IF('Setup'!$B$22&gt;0,"",'Demand'!B87)</x:f>
        <x:v>12</x:v>
      </x:c>
      <x:c r="C87" s="1" t="n">
        <x:f>IF('Setup'!$B$22&gt;0,"",'Demand'!C87)</x:f>
        <x:v>1</x:v>
      </x:c>
      <x:c r="D87" s="24" t="n">
        <x:f>IF('Setup'!$B$22&gt;0,"",ROUND('Demand'!D87*'Setup'!B18,0))</x:f>
        <x:v>7800</x:v>
      </x:c>
      <x:c r="E87" s="24" t="n">
        <x:f>IF('Setup'!$B$22&gt;0,"",L86)</x:f>
        <x:v>228449</x:v>
      </x:c>
      <x:c r="F87" s="24" t="n">
        <x:f>IF('Setup'!$B$22&gt;0,"",D87+E87)</x:f>
        <x:v>236249</x:v>
      </x:c>
      <x:c r="G87" s="24" t="n">
        <x:f>IF('Setup'!$B$22&gt;0,"",'Capacity'!N75*C87)</x:f>
        <x:v>8372</x:v>
      </x:c>
      <x:c r="H87" s="24" t="n">
        <x:f>IF('Setup'!$B$22&gt;0,"",'Capacity'!N76*C87)</x:f>
        <x:v>7893</x:v>
      </x:c>
      <x:c r="I87" s="24" t="n">
        <x:f>IF('Setup'!$B$22&gt;0,"",'Capacity'!N77*C87)</x:f>
        <x:v>7774</x:v>
      </x:c>
      <x:c r="J87" s="24" t="n">
        <x:f>IF('Setup'!$B$22&gt;0,"",MIN(G87:I87))</x:f>
        <x:v>7774</x:v>
      </x:c>
      <x:c r="K87" s="24" t="n">
        <x:f>IF('Setup'!$B$22&gt;0,"",MIN(F87,J87))</x:f>
        <x:v>7774</x:v>
      </x:c>
      <x:c r="L87" s="24" t="n">
        <x:f>IF('Setup'!$B$22&gt;0,"",MAX(0,F87-K87))</x:f>
        <x:v>228475</x:v>
      </x:c>
      <x:c r="M87" s="23" t="n">
        <x:f>IF('Setup'!$B$22&gt;0,"",IF(J87=0,0,K87/J87))</x:f>
        <x:v>1</x:v>
      </x:c>
      <x:c r="N87" s="25" t="n">
        <x:f>IF('Setup'!$B$22&gt;0,"",SUM('Capacity'!Z75:Z77)*C87)</x:f>
        <x:v>11319.68</x:v>
      </x:c>
      <x:c r="O87" s="25" t="n">
        <x:f>IF('Setup'!$B$22&gt;0,"",SUM('Capacity'!Q75:Q77)*C87)</x:f>
        <x:v>1987.1999999999996</x:v>
      </x:c>
      <x:c r="P87" s="1" t="str">
        <x:f>IF('Setup'!$B$22&gt;0,"",IF(C87=0,"Closed",INDEX('Processes'!$A$6:$A$8,MATCH(J87,G87:I87,0))))</x:f>
        <x:v>Ship</x:v>
      </x:c>
      <x:c r="Q87" s="1" t="n">
        <x:f>IF('Setup'!$B$22&gt;0,"",IF(C87=0,0,MAX(0,ROUNDUP(F87/'Capacity'!X75-'Capacity'!Y75,0)-'Capacity'!G75)))</x:f>
        <x:v>763</x:v>
      </x:c>
      <x:c r="R87" s="1" t="n">
        <x:f>IF('Setup'!$B$22&gt;0,"",IF(C87=0,0,MAX(0,ROUNDUP(F87/'Capacity'!X76-'Capacity'!Y76,0)-'Capacity'!G76)))</x:f>
        <x:v>637</x:v>
      </x:c>
      <x:c r="S87" s="1" t="n">
        <x:f>IF('Setup'!$B$22&gt;0,"",IF(C87=0,0,MAX(0,ROUNDUP(F87/'Capacity'!X77-'Capacity'!Y77,0)-'Capacity'!G77)))</x:f>
        <x:v>383</x:v>
      </x:c>
      <x:c r="T87" s="1" t="str">
        <x:f>IF('Setup'!$B$22&gt;0,"",IF(C87=0,IF(L87&gt;'Setup'!$B$7,"Backlog on closed day","Closed"),IF(OR(V87&gt;0,W87&gt;0),"Resolve staffing limits",IF(U87&gt;0,"Resolve physical limit",IF(L87&gt;'Setup'!$B$7,"Close labor capacity gap",IF(L87&gt;0,"Backlog below threshold","Within daily capacity"))))))</x:f>
        <x:v>Resolve physical limit</x:v>
      </x:c>
      <x:c r="U87" s="1" t="n">
        <x:f>IF('Setup'!$B$22&gt;0,"",IF(C87=0,0,MAX(0,F87-INT(MIN('Capacity'!M75:M77)))))</x:f>
        <x:v>228249</x:v>
      </x:c>
      <x:c r="V87" s="1" t="n">
        <x:f>IF('Setup'!$B$22&gt;0,"",SUM('Capacity'!T75:T77)*C87)</x:f>
        <x:v>0</x:v>
      </x:c>
      <x:c r="W87" s="1" t="n">
        <x:f>IF('Setup'!$B$22&gt;0,"",SUM('Capacity'!W75:W77)*C87)</x:f>
        <x:v>0</x:v>
      </x:c>
    </x:row>
    <x:row r="88" ht="23" customHeight="1">
      <x:c r="A88" s="20" t="n">
        <x:f>IF('Setup'!$B$22&gt;0,"",'Demand'!A88)</x:f>
        <x:v>46382</x:v>
      </x:c>
      <x:c r="B88" s="1" t="n">
        <x:f>IF('Setup'!$B$22&gt;0,"",'Demand'!B88)</x:f>
        <x:v>12</x:v>
      </x:c>
      <x:c r="C88" s="1" t="n">
        <x:f>IF('Setup'!$B$22&gt;0,"",'Demand'!C88)</x:f>
        <x:v>0</x:v>
      </x:c>
      <x:c r="D88" s="24" t="n">
        <x:f>IF('Setup'!$B$22&gt;0,"",ROUND('Demand'!D88*'Setup'!B18,0))</x:f>
        <x:v>0</x:v>
      </x:c>
      <x:c r="E88" s="24" t="n">
        <x:f>IF('Setup'!$B$22&gt;0,"",L87)</x:f>
        <x:v>228475</x:v>
      </x:c>
      <x:c r="F88" s="24" t="n">
        <x:f>IF('Setup'!$B$22&gt;0,"",D88+E88)</x:f>
        <x:v>228475</x:v>
      </x:c>
      <x:c r="G88" s="24" t="n">
        <x:f>IF('Setup'!$B$22&gt;0,"",'Capacity'!N75*C88)</x:f>
        <x:v>0</x:v>
      </x:c>
      <x:c r="H88" s="24" t="n">
        <x:f>IF('Setup'!$B$22&gt;0,"",'Capacity'!N76*C88)</x:f>
        <x:v>0</x:v>
      </x:c>
      <x:c r="I88" s="24" t="n">
        <x:f>IF('Setup'!$B$22&gt;0,"",'Capacity'!N77*C88)</x:f>
        <x:v>0</x:v>
      </x:c>
      <x:c r="J88" s="24" t="n">
        <x:f>IF('Setup'!$B$22&gt;0,"",MIN(G88:I88))</x:f>
        <x:v>0</x:v>
      </x:c>
      <x:c r="K88" s="24" t="n">
        <x:f>IF('Setup'!$B$22&gt;0,"",MIN(F88,J88))</x:f>
        <x:v>0</x:v>
      </x:c>
      <x:c r="L88" s="24" t="n">
        <x:f>IF('Setup'!$B$22&gt;0,"",MAX(0,F88-K88))</x:f>
        <x:v>228475</x:v>
      </x:c>
      <x:c r="M88" s="23" t="n">
        <x:f>IF('Setup'!$B$22&gt;0,"",IF(J88=0,0,K88/J88))</x:f>
        <x:v>0</x:v>
      </x:c>
      <x:c r="N88" s="25" t="n">
        <x:f>IF('Setup'!$B$22&gt;0,"",SUM('Capacity'!Z75:Z77)*C88)</x:f>
        <x:v>0</x:v>
      </x:c>
      <x:c r="O88" s="25" t="n">
        <x:f>IF('Setup'!$B$22&gt;0,"",SUM('Capacity'!Q75:Q77)*C88)</x:f>
        <x:v>0</x:v>
      </x:c>
      <x:c r="P88" s="1" t="str">
        <x:f>IF('Setup'!$B$22&gt;0,"",IF(C88=0,"Closed",INDEX('Processes'!$A$6:$A$8,MATCH(J88,G88:I88,0))))</x:f>
        <x:v>Closed</x:v>
      </x:c>
      <x:c r="Q88" s="1" t="n">
        <x:f>IF('Setup'!$B$22&gt;0,"",IF(C88=0,0,MAX(0,ROUNDUP(F88/'Capacity'!X75-'Capacity'!Y75,0)-'Capacity'!G75)))</x:f>
        <x:v>0</x:v>
      </x:c>
      <x:c r="R88" s="1" t="n">
        <x:f>IF('Setup'!$B$22&gt;0,"",IF(C88=0,0,MAX(0,ROUNDUP(F88/'Capacity'!X76-'Capacity'!Y76,0)-'Capacity'!G76)))</x:f>
        <x:v>0</x:v>
      </x:c>
      <x:c r="S88" s="1" t="n">
        <x:f>IF('Setup'!$B$22&gt;0,"",IF(C88=0,0,MAX(0,ROUNDUP(F88/'Capacity'!X77-'Capacity'!Y77,0)-'Capacity'!G77)))</x:f>
        <x:v>0</x:v>
      </x:c>
      <x:c r="T88" s="1" t="str">
        <x:f>IF('Setup'!$B$22&gt;0,"",IF(C88=0,IF(L88&gt;'Setup'!$B$7,"Backlog on closed day","Closed"),IF(OR(V88&gt;0,W88&gt;0),"Resolve staffing limits",IF(U88&gt;0,"Resolve physical limit",IF(L88&gt;'Setup'!$B$7,"Close labor capacity gap",IF(L88&gt;0,"Backlog below threshold","Within daily capacity"))))))</x:f>
        <x:v>Backlog on closed day</x:v>
      </x:c>
      <x:c r="U88" s="1" t="n">
        <x:f>IF('Setup'!$B$22&gt;0,"",IF(C88=0,0,MAX(0,F88-INT(MIN('Capacity'!M75:M77)))))</x:f>
        <x:v>0</x:v>
      </x:c>
      <x:c r="V88" s="1" t="n">
        <x:f>IF('Setup'!$B$22&gt;0,"",SUM('Capacity'!T75:T77)*C88)</x:f>
        <x:v>0</x:v>
      </x:c>
      <x:c r="W88" s="1" t="n">
        <x:f>IF('Setup'!$B$22&gt;0,"",SUM('Capacity'!W75:W77)*C88)</x:f>
        <x:v>0</x:v>
      </x:c>
    </x:row>
    <x:row r="89" ht="23" customHeight="1">
      <x:c r="A89" s="20" t="n">
        <x:f>IF('Setup'!$B$22&gt;0,"",'Demand'!A89)</x:f>
        <x:v>46383</x:v>
      </x:c>
      <x:c r="B89" s="1" t="n">
        <x:f>IF('Setup'!$B$22&gt;0,"",'Demand'!B89)</x:f>
        <x:v>12</x:v>
      </x:c>
      <x:c r="C89" s="1" t="n">
        <x:f>IF('Setup'!$B$22&gt;0,"",'Demand'!C89)</x:f>
        <x:v>0</x:v>
      </x:c>
      <x:c r="D89" s="24" t="n">
        <x:f>IF('Setup'!$B$22&gt;0,"",ROUND('Demand'!D89*'Setup'!B18,0))</x:f>
        <x:v>0</x:v>
      </x:c>
      <x:c r="E89" s="24" t="n">
        <x:f>IF('Setup'!$B$22&gt;0,"",L88)</x:f>
        <x:v>228475</x:v>
      </x:c>
      <x:c r="F89" s="24" t="n">
        <x:f>IF('Setup'!$B$22&gt;0,"",D89+E89)</x:f>
        <x:v>228475</x:v>
      </x:c>
      <x:c r="G89" s="24" t="n">
        <x:f>IF('Setup'!$B$22&gt;0,"",'Capacity'!N75*C89)</x:f>
        <x:v>0</x:v>
      </x:c>
      <x:c r="H89" s="24" t="n">
        <x:f>IF('Setup'!$B$22&gt;0,"",'Capacity'!N76*C89)</x:f>
        <x:v>0</x:v>
      </x:c>
      <x:c r="I89" s="24" t="n">
        <x:f>IF('Setup'!$B$22&gt;0,"",'Capacity'!N77*C89)</x:f>
        <x:v>0</x:v>
      </x:c>
      <x:c r="J89" s="24" t="n">
        <x:f>IF('Setup'!$B$22&gt;0,"",MIN(G89:I89))</x:f>
        <x:v>0</x:v>
      </x:c>
      <x:c r="K89" s="24" t="n">
        <x:f>IF('Setup'!$B$22&gt;0,"",MIN(F89,J89))</x:f>
        <x:v>0</x:v>
      </x:c>
      <x:c r="L89" s="24" t="n">
        <x:f>IF('Setup'!$B$22&gt;0,"",MAX(0,F89-K89))</x:f>
        <x:v>228475</x:v>
      </x:c>
      <x:c r="M89" s="23" t="n">
        <x:f>IF('Setup'!$B$22&gt;0,"",IF(J89=0,0,K89/J89))</x:f>
        <x:v>0</x:v>
      </x:c>
      <x:c r="N89" s="25" t="n">
        <x:f>IF('Setup'!$B$22&gt;0,"",SUM('Capacity'!Z75:Z77)*C89)</x:f>
        <x:v>0</x:v>
      </x:c>
      <x:c r="O89" s="25" t="n">
        <x:f>IF('Setup'!$B$22&gt;0,"",SUM('Capacity'!Q75:Q77)*C89)</x:f>
        <x:v>0</x:v>
      </x:c>
      <x:c r="P89" s="1" t="str">
        <x:f>IF('Setup'!$B$22&gt;0,"",IF(C89=0,"Closed",INDEX('Processes'!$A$6:$A$8,MATCH(J89,G89:I89,0))))</x:f>
        <x:v>Closed</x:v>
      </x:c>
      <x:c r="Q89" s="1" t="n">
        <x:f>IF('Setup'!$B$22&gt;0,"",IF(C89=0,0,MAX(0,ROUNDUP(F89/'Capacity'!X75-'Capacity'!Y75,0)-'Capacity'!G75)))</x:f>
        <x:v>0</x:v>
      </x:c>
      <x:c r="R89" s="1" t="n">
        <x:f>IF('Setup'!$B$22&gt;0,"",IF(C89=0,0,MAX(0,ROUNDUP(F89/'Capacity'!X76-'Capacity'!Y76,0)-'Capacity'!G76)))</x:f>
        <x:v>0</x:v>
      </x:c>
      <x:c r="S89" s="1" t="n">
        <x:f>IF('Setup'!$B$22&gt;0,"",IF(C89=0,0,MAX(0,ROUNDUP(F89/'Capacity'!X77-'Capacity'!Y77,0)-'Capacity'!G77)))</x:f>
        <x:v>0</x:v>
      </x:c>
      <x:c r="T89" s="1" t="str">
        <x:f>IF('Setup'!$B$22&gt;0,"",IF(C89=0,IF(L89&gt;'Setup'!$B$7,"Backlog on closed day","Closed"),IF(OR(V89&gt;0,W89&gt;0),"Resolve staffing limits",IF(U89&gt;0,"Resolve physical limit",IF(L89&gt;'Setup'!$B$7,"Close labor capacity gap",IF(L89&gt;0,"Backlog below threshold","Within daily capacity"))))))</x:f>
        <x:v>Backlog on closed day</x:v>
      </x:c>
      <x:c r="U89" s="1" t="n">
        <x:f>IF('Setup'!$B$22&gt;0,"",IF(C89=0,0,MAX(0,F89-INT(MIN('Capacity'!M75:M77)))))</x:f>
        <x:v>0</x:v>
      </x:c>
      <x:c r="V89" s="1" t="n">
        <x:f>IF('Setup'!$B$22&gt;0,"",SUM('Capacity'!T75:T77)*C89)</x:f>
        <x:v>0</x:v>
      </x:c>
      <x:c r="W89" s="1" t="n">
        <x:f>IF('Setup'!$B$22&gt;0,"",SUM('Capacity'!W75:W77)*C89)</x:f>
        <x:v>0</x:v>
      </x:c>
    </x:row>
    <x:row r="90" ht="23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 ht="23" customHeight="1">
      <x:c r="A91" s="1" t="str">
        <x:v>Extra trained heads are a same-day arithmetic gap at the current OT setting. They ignore recruiting lead time and can exceed workstation or physical limits.</x:v>
      </x:c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 ht="23" customHeight="1">
      <x:c r="A92" s="1" t="str">
        <x:v>When constraints tie, Limiting stage shows the first stage. Capacity used is completions divided by modeled flow capacity; closed/zero-capacity days display 0%.</x:v>
      </x:c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 ht="23" customHeight="1">
      <x:c r="A93" s="1" t="str">
        <x:v>Fractional expected attendance is used for planning. Capacity is floored to whole orders per stage per day; this is not a labor roster or shipment promise.</x:v>
      </x:c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 ht="23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 ht="23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</x:sheetData>
  <x:conditionalFormatting sqref="L6:L89">
    <x:cfRule type="cellIs" dxfId="8" priority="1" operator="greaterThan">
      <x:formula>0</x:formula>
    </x:cfRule>
  </x:conditionalFormatting>
  <x:conditionalFormatting sqref="U6:W89">
    <x:cfRule type="cellIs" dxfId="9" priority="2" operator="greaterThan">
      <x:formula>0</x:formula>
    </x:cfRule>
  </x:conditionalFormatting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1" hidden="0" customWidth="1"/>
    <x:col min="2" max="2" width="9" hidden="0" customWidth="1"/>
    <x:col min="3" max="3" width="9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30" hidden="0" customWidth="1"/>
    <x:col min="21" max="21" width="17" hidden="0" customWidth="1"/>
    <x:col min="22" max="22" width="17" hidden="0" customWidth="1"/>
    <x:col min="23" max="23" width="17" hidden="0" customWidth="1"/>
  </x:cols>
  <x:sheetData>
    <x:row r="1" ht="31" customHeight="1">
      <x:c r="A1" s="2" t="str">
        <x:v>Disruption daily plan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 t="str">
        <x:v>Formula outputs. Order backlog covers released orders still requiring the full three-stage flow.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  <x:c r="W3" s="4"/>
    </x:row>
    <x:row r="4" ht="23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58" customHeight="1">
      <x:c r="A5" s="8" t="str">
        <x:v>Date</x:v>
      </x:c>
      <x:c r="B5" s="8" t="str">
        <x:v>Week</x:v>
      </x:c>
      <x:c r="C5" s="8" t="str">
        <x:v>Open</x:v>
      </x:c>
      <x:c r="D5" s="8" t="str">
        <x:v>Orders released</x:v>
      </x:c>
      <x:c r="E5" s="8" t="str">
        <x:v>Opening backlog</x:v>
      </x:c>
      <x:c r="F5" s="8" t="str">
        <x:v>Orders available</x:v>
      </x:c>
      <x:c r="G5" s="8" t="str">
        <x:v>Pick capacity</x:v>
      </x:c>
      <x:c r="H5" s="8" t="str">
        <x:v>Pack capacity</x:v>
      </x:c>
      <x:c r="I5" s="8" t="str">
        <x:v>Ship capacity</x:v>
      </x:c>
      <x:c r="J5" s="8" t="str">
        <x:v>Flow capacity</x:v>
      </x:c>
      <x:c r="K5" s="8" t="str">
        <x:v>Orders completed</x:v>
      </x:c>
      <x:c r="L5" s="8" t="str">
        <x:v>Closing backlog</x:v>
      </x:c>
      <x:c r="M5" s="8" t="str">
        <x:v>Capacity used</x:v>
      </x:c>
      <x:c r="N5" s="8" t="str">
        <x:v>Labor cost ($)</x:v>
      </x:c>
      <x:c r="O5" s="8" t="str">
        <x:v>Incremental
cost ($)</x:v>
      </x:c>
      <x:c r="P5" s="8" t="str">
        <x:v>Limiting stage</x:v>
      </x:c>
      <x:c r="Q5" s="8" t="str">
        <x:v>Pick extra
trained</x:v>
      </x:c>
      <x:c r="R5" s="8" t="str">
        <x:v>Pack extra
trained</x:v>
      </x:c>
      <x:c r="S5" s="8" t="str">
        <x:v>Ship extra
trained</x:v>
      </x:c>
      <x:c r="T5" s="8" t="str">
        <x:v>Action</x:v>
      </x:c>
      <x:c r="U5" s="8" t="str">
        <x:v>Physical shortfall</x:v>
      </x:c>
      <x:c r="V5" s="8" t="str">
        <x:v>Unplaced heads</x:v>
      </x:c>
      <x:c r="W5" s="8" t="str">
        <x:v>OT over limit</x:v>
      </x:c>
    </x:row>
    <x:row r="6" ht="23" customHeight="1">
      <x:c r="A6" s="20" t="n">
        <x:f>IF('Setup'!$B$22&gt;0,"",'Demand'!A6)</x:f>
        <x:v>46300</x:v>
      </x:c>
      <x:c r="B6" s="1" t="n">
        <x:f>IF('Setup'!$B$22&gt;0,"",'Demand'!B6)</x:f>
        <x:v>1</x:v>
      </x:c>
      <x:c r="C6" s="1" t="n">
        <x:f>IF('Setup'!$B$22&gt;0,"",'Demand'!C6)</x:f>
        <x:v>1</x:v>
      </x:c>
      <x:c r="D6" s="24" t="n">
        <x:f>IF('Setup'!$B$22&gt;0,"",ROUND('Demand'!D6*'Setup'!B19,0))</x:f>
        <x:v>7150</x:v>
      </x:c>
      <x:c r="E6" s="24" t="n">
        <x:f>IF('Setup'!$B$22&gt;0,"",'Setup'!$B$6)</x:f>
        <x:v>0</x:v>
      </x:c>
      <x:c r="F6" s="24" t="n">
        <x:f>IF('Setup'!$B$22&gt;0,"",D6+E6)</x:f>
        <x:v>7150</x:v>
      </x:c>
      <x:c r="G6" s="24" t="n">
        <x:f>IF('Setup'!$B$22&gt;0,"",'Capacity'!N78*C6)</x:f>
        <x:v>6107</x:v>
      </x:c>
      <x:c r="H6" s="24" t="n">
        <x:f>IF('Setup'!$B$22&gt;0,"",'Capacity'!N79*C6)</x:f>
        <x:v>5496</x:v>
      </x:c>
      <x:c r="I6" s="24" t="n">
        <x:f>IF('Setup'!$B$22&gt;0,"",'Capacity'!N80*C6)</x:f>
        <x:v>5089</x:v>
      </x:c>
      <x:c r="J6" s="24" t="n">
        <x:f>IF('Setup'!$B$22&gt;0,"",MIN(G6:I6))</x:f>
        <x:v>5089</x:v>
      </x:c>
      <x:c r="K6" s="24" t="n">
        <x:f>IF('Setup'!$B$22&gt;0,"",MIN(F6,J6))</x:f>
        <x:v>5089</x:v>
      </x:c>
      <x:c r="L6" s="24" t="n">
        <x:f>IF('Setup'!$B$22&gt;0,"",MAX(0,F6-K6))</x:f>
        <x:v>2061</x:v>
      </x:c>
      <x:c r="M6" s="23" t="n">
        <x:f>IF('Setup'!$B$22&gt;0,"",IF(J6=0,0,K6/J6))</x:f>
        <x:v>1</x:v>
      </x:c>
      <x:c r="N6" s="25" t="n">
        <x:f>IF('Setup'!$B$22&gt;0,"",SUM('Capacity'!Z78:Z80)*C6)</x:f>
        <x:v>8825.28</x:v>
      </x:c>
      <x:c r="O6" s="25" t="n">
        <x:f>IF('Setup'!$B$22&gt;0,"",SUM('Capacity'!Q78:Q80)*C6)</x:f>
        <x:v>0</x:v>
      </x:c>
      <x:c r="P6" s="1" t="str">
        <x:f>IF('Setup'!$B$22&gt;0,"",IF(C6=0,"Closed",INDEX('Processes'!$A$6:$A$8,MATCH(J6,G6:I6,0))))</x:f>
        <x:v>Ship</x:v>
      </x:c>
      <x:c r="Q6" s="1" t="n">
        <x:f>IF('Setup'!$B$22&gt;0,"",IF(C6=0,0,MAX(0,ROUNDUP(F6/'Capacity'!X78-'Capacity'!Y78,0)-'Capacity'!G78)))</x:f>
        <x:v>5</x:v>
      </x:c>
      <x:c r="R6" s="1" t="n">
        <x:f>IF('Setup'!$B$22&gt;0,"",IF(C6=0,0,MAX(0,ROUNDUP(F6/'Capacity'!X79-'Capacity'!Y79,0)-'Capacity'!G79)))</x:f>
        <x:v>6</x:v>
      </x:c>
      <x:c r="S6" s="1" t="n">
        <x:f>IF('Setup'!$B$22&gt;0,"",IF(C6=0,0,MAX(0,ROUNDUP(F6/'Capacity'!X80-'Capacity'!Y80,0)-'Capacity'!G80)))</x:f>
        <x:v>5</x:v>
      </x:c>
      <x:c r="T6" s="1" t="str">
        <x:f>IF('Setup'!$B$22&gt;0,"",IF(C6=0,IF(L6&gt;'Setup'!$B$7,"Backlog on closed day","Closed"),IF(OR(V6&gt;0,W6&gt;0),"Resolve staffing limits",IF(U6&gt;0,"Resolve physical limit",IF(L6&gt;'Setup'!$B$7,"Close labor capacity gap",IF(L6&gt;0,"Backlog below threshold","Within daily capacity"))))))</x:f>
        <x:v>Resolve physical limit</x:v>
      </x:c>
      <x:c r="U6" s="1" t="n">
        <x:f>IF('Setup'!$B$22&gt;0,"",IF(C6=0,0,MAX(0,F6-INT(MIN('Capacity'!M78:M80)))))</x:f>
        <x:v>350</x:v>
      </x:c>
      <x:c r="V6" s="1" t="n">
        <x:f>IF('Setup'!$B$22&gt;0,"",SUM('Capacity'!T78:T80)*C6)</x:f>
        <x:v>0</x:v>
      </x:c>
      <x:c r="W6" s="1" t="n">
        <x:f>IF('Setup'!$B$22&gt;0,"",SUM('Capacity'!W78:W80)*C6)</x:f>
        <x:v>0</x:v>
      </x:c>
    </x:row>
    <x:row r="7" ht="23" customHeight="1">
      <x:c r="A7" s="20" t="n">
        <x:f>IF('Setup'!$B$22&gt;0,"",'Demand'!A7)</x:f>
        <x:v>46301</x:v>
      </x:c>
      <x:c r="B7" s="1" t="n">
        <x:f>IF('Setup'!$B$22&gt;0,"",'Demand'!B7)</x:f>
        <x:v>1</x:v>
      </x:c>
      <x:c r="C7" s="1" t="n">
        <x:f>IF('Setup'!$B$22&gt;0,"",'Demand'!C7)</x:f>
        <x:v>1</x:v>
      </x:c>
      <x:c r="D7" s="24" t="n">
        <x:f>IF('Setup'!$B$22&gt;0,"",ROUND('Demand'!D7*'Setup'!B19,0))</x:f>
        <x:v>7150</x:v>
      </x:c>
      <x:c r="E7" s="24" t="n">
        <x:f>IF('Setup'!$B$22&gt;0,"",L6)</x:f>
        <x:v>2061</x:v>
      </x:c>
      <x:c r="F7" s="24" t="n">
        <x:f>IF('Setup'!$B$22&gt;0,"",D7+E7)</x:f>
        <x:v>9211</x:v>
      </x:c>
      <x:c r="G7" s="24" t="n">
        <x:f>IF('Setup'!$B$22&gt;0,"",'Capacity'!N78*C7)</x:f>
        <x:v>6107</x:v>
      </x:c>
      <x:c r="H7" s="24" t="n">
        <x:f>IF('Setup'!$B$22&gt;0,"",'Capacity'!N79*C7)</x:f>
        <x:v>5496</x:v>
      </x:c>
      <x:c r="I7" s="24" t="n">
        <x:f>IF('Setup'!$B$22&gt;0,"",'Capacity'!N80*C7)</x:f>
        <x:v>5089</x:v>
      </x:c>
      <x:c r="J7" s="24" t="n">
        <x:f>IF('Setup'!$B$22&gt;0,"",MIN(G7:I7))</x:f>
        <x:v>5089</x:v>
      </x:c>
      <x:c r="K7" s="24" t="n">
        <x:f>IF('Setup'!$B$22&gt;0,"",MIN(F7,J7))</x:f>
        <x:v>5089</x:v>
      </x:c>
      <x:c r="L7" s="24" t="n">
        <x:f>IF('Setup'!$B$22&gt;0,"",MAX(0,F7-K7))</x:f>
        <x:v>4122</x:v>
      </x:c>
      <x:c r="M7" s="23" t="n">
        <x:f>IF('Setup'!$B$22&gt;0,"",IF(J7=0,0,K7/J7))</x:f>
        <x:v>1</x:v>
      </x:c>
      <x:c r="N7" s="25" t="n">
        <x:f>IF('Setup'!$B$22&gt;0,"",SUM('Capacity'!Z78:Z80)*C7)</x:f>
        <x:v>8825.28</x:v>
      </x:c>
      <x:c r="O7" s="25" t="n">
        <x:f>IF('Setup'!$B$22&gt;0,"",SUM('Capacity'!Q78:Q80)*C7)</x:f>
        <x:v>0</x:v>
      </x:c>
      <x:c r="P7" s="1" t="str">
        <x:f>IF('Setup'!$B$22&gt;0,"",IF(C7=0,"Closed",INDEX('Processes'!$A$6:$A$8,MATCH(J7,G7:I7,0))))</x:f>
        <x:v>Ship</x:v>
      </x:c>
      <x:c r="Q7" s="1" t="n">
        <x:f>IF('Setup'!$B$22&gt;0,"",IF(C7=0,0,MAX(0,ROUNDUP(F7/'Capacity'!X78-'Capacity'!Y78,0)-'Capacity'!G78)))</x:f>
        <x:v>13</x:v>
      </x:c>
      <x:c r="R7" s="1" t="n">
        <x:f>IF('Setup'!$B$22&gt;0,"",IF(C7=0,0,MAX(0,ROUNDUP(F7/'Capacity'!X79-'Capacity'!Y79,0)-'Capacity'!G79)))</x:f>
        <x:v>13</x:v>
      </x:c>
      <x:c r="S7" s="1" t="n">
        <x:f>IF('Setup'!$B$22&gt;0,"",IF(C7=0,0,MAX(0,ROUNDUP(F7/'Capacity'!X80-'Capacity'!Y80,0)-'Capacity'!G80)))</x:f>
        <x:v>9</x:v>
      </x:c>
      <x:c r="T7" s="1" t="str">
        <x:f>IF('Setup'!$B$22&gt;0,"",IF(C7=0,IF(L7&gt;'Setup'!$B$7,"Backlog on closed day","Closed"),IF(OR(V7&gt;0,W7&gt;0),"Resolve staffing limits",IF(U7&gt;0,"Resolve physical limit",IF(L7&gt;'Setup'!$B$7,"Close labor capacity gap",IF(L7&gt;0,"Backlog below threshold","Within daily capacity"))))))</x:f>
        <x:v>Resolve physical limit</x:v>
      </x:c>
      <x:c r="U7" s="1" t="n">
        <x:f>IF('Setup'!$B$22&gt;0,"",IF(C7=0,0,MAX(0,F7-INT(MIN('Capacity'!M78:M80)))))</x:f>
        <x:v>2411</x:v>
      </x:c>
      <x:c r="V7" s="1" t="n">
        <x:f>IF('Setup'!$B$22&gt;0,"",SUM('Capacity'!T78:T80)*C7)</x:f>
        <x:v>0</x:v>
      </x:c>
      <x:c r="W7" s="1" t="n">
        <x:f>IF('Setup'!$B$22&gt;0,"",SUM('Capacity'!W78:W80)*C7)</x:f>
        <x:v>0</x:v>
      </x:c>
    </x:row>
    <x:row r="8" ht="23" customHeight="1">
      <x:c r="A8" s="20" t="n">
        <x:f>IF('Setup'!$B$22&gt;0,"",'Demand'!A8)</x:f>
        <x:v>46302</x:v>
      </x:c>
      <x:c r="B8" s="1" t="n">
        <x:f>IF('Setup'!$B$22&gt;0,"",'Demand'!B8)</x:f>
        <x:v>1</x:v>
      </x:c>
      <x:c r="C8" s="1" t="n">
        <x:f>IF('Setup'!$B$22&gt;0,"",'Demand'!C8)</x:f>
        <x:v>1</x:v>
      </x:c>
      <x:c r="D8" s="24" t="n">
        <x:f>IF('Setup'!$B$22&gt;0,"",ROUND('Demand'!D8*'Setup'!B19,0))</x:f>
        <x:v>7150</x:v>
      </x:c>
      <x:c r="E8" s="24" t="n">
        <x:f>IF('Setup'!$B$22&gt;0,"",L7)</x:f>
        <x:v>4122</x:v>
      </x:c>
      <x:c r="F8" s="24" t="n">
        <x:f>IF('Setup'!$B$22&gt;0,"",D8+E8)</x:f>
        <x:v>11272</x:v>
      </x:c>
      <x:c r="G8" s="24" t="n">
        <x:f>IF('Setup'!$B$22&gt;0,"",'Capacity'!N78*C8)</x:f>
        <x:v>6107</x:v>
      </x:c>
      <x:c r="H8" s="24" t="n">
        <x:f>IF('Setup'!$B$22&gt;0,"",'Capacity'!N79*C8)</x:f>
        <x:v>5496</x:v>
      </x:c>
      <x:c r="I8" s="24" t="n">
        <x:f>IF('Setup'!$B$22&gt;0,"",'Capacity'!N80*C8)</x:f>
        <x:v>5089</x:v>
      </x:c>
      <x:c r="J8" s="24" t="n">
        <x:f>IF('Setup'!$B$22&gt;0,"",MIN(G8:I8))</x:f>
        <x:v>5089</x:v>
      </x:c>
      <x:c r="K8" s="24" t="n">
        <x:f>IF('Setup'!$B$22&gt;0,"",MIN(F8,J8))</x:f>
        <x:v>5089</x:v>
      </x:c>
      <x:c r="L8" s="24" t="n">
        <x:f>IF('Setup'!$B$22&gt;0,"",MAX(0,F8-K8))</x:f>
        <x:v>6183</x:v>
      </x:c>
      <x:c r="M8" s="23" t="n">
        <x:f>IF('Setup'!$B$22&gt;0,"",IF(J8=0,0,K8/J8))</x:f>
        <x:v>1</x:v>
      </x:c>
      <x:c r="N8" s="25" t="n">
        <x:f>IF('Setup'!$B$22&gt;0,"",SUM('Capacity'!Z78:Z80)*C8)</x:f>
        <x:v>8825.28</x:v>
      </x:c>
      <x:c r="O8" s="25" t="n">
        <x:f>IF('Setup'!$B$22&gt;0,"",SUM('Capacity'!Q78:Q80)*C8)</x:f>
        <x:v>0</x:v>
      </x:c>
      <x:c r="P8" s="1" t="str">
        <x:f>IF('Setup'!$B$22&gt;0,"",IF(C8=0,"Closed",INDEX('Processes'!$A$6:$A$8,MATCH(J8,G8:I8,0))))</x:f>
        <x:v>Ship</x:v>
      </x:c>
      <x:c r="Q8" s="1" t="n">
        <x:f>IF('Setup'!$B$22&gt;0,"",IF(C8=0,0,MAX(0,ROUNDUP(F8/'Capacity'!X78-'Capacity'!Y78,0)-'Capacity'!G78)))</x:f>
        <x:v>21</x:v>
      </x:c>
      <x:c r="R8" s="1" t="n">
        <x:f>IF('Setup'!$B$22&gt;0,"",IF(C8=0,0,MAX(0,ROUNDUP(F8/'Capacity'!X79-'Capacity'!Y79,0)-'Capacity'!G79)))</x:f>
        <x:v>19</x:v>
      </x:c>
      <x:c r="S8" s="1" t="n">
        <x:f>IF('Setup'!$B$22&gt;0,"",IF(C8=0,0,MAX(0,ROUNDUP(F8/'Capacity'!X80-'Capacity'!Y80,0)-'Capacity'!G80)))</x:f>
        <x:v>13</x:v>
      </x:c>
      <x:c r="T8" s="1" t="str">
        <x:f>IF('Setup'!$B$22&gt;0,"",IF(C8=0,IF(L8&gt;'Setup'!$B$7,"Backlog on closed day","Closed"),IF(OR(V8&gt;0,W8&gt;0),"Resolve staffing limits",IF(U8&gt;0,"Resolve physical limit",IF(L8&gt;'Setup'!$B$7,"Close labor capacity gap",IF(L8&gt;0,"Backlog below threshold","Within daily capacity"))))))</x:f>
        <x:v>Resolve physical limit</x:v>
      </x:c>
      <x:c r="U8" s="1" t="n">
        <x:f>IF('Setup'!$B$22&gt;0,"",IF(C8=0,0,MAX(0,F8-INT(MIN('Capacity'!M78:M80)))))</x:f>
        <x:v>4472</x:v>
      </x:c>
      <x:c r="V8" s="1" t="n">
        <x:f>IF('Setup'!$B$22&gt;0,"",SUM('Capacity'!T78:T80)*C8)</x:f>
        <x:v>0</x:v>
      </x:c>
      <x:c r="W8" s="1" t="n">
        <x:f>IF('Setup'!$B$22&gt;0,"",SUM('Capacity'!W78:W80)*C8)</x:f>
        <x:v>0</x:v>
      </x:c>
    </x:row>
    <x:row r="9" ht="23" customHeight="1">
      <x:c r="A9" s="20" t="n">
        <x:f>IF('Setup'!$B$22&gt;0,"",'Demand'!A9)</x:f>
        <x:v>46303</x:v>
      </x:c>
      <x:c r="B9" s="1" t="n">
        <x:f>IF('Setup'!$B$22&gt;0,"",'Demand'!B9)</x:f>
        <x:v>1</x:v>
      </x:c>
      <x:c r="C9" s="1" t="n">
        <x:f>IF('Setup'!$B$22&gt;0,"",'Demand'!C9)</x:f>
        <x:v>1</x:v>
      </x:c>
      <x:c r="D9" s="24" t="n">
        <x:f>IF('Setup'!$B$22&gt;0,"",ROUND('Demand'!D9*'Setup'!B19,0))</x:f>
        <x:v>7150</x:v>
      </x:c>
      <x:c r="E9" s="24" t="n">
        <x:f>IF('Setup'!$B$22&gt;0,"",L8)</x:f>
        <x:v>6183</x:v>
      </x:c>
      <x:c r="F9" s="24" t="n">
        <x:f>IF('Setup'!$B$22&gt;0,"",D9+E9)</x:f>
        <x:v>13333</x:v>
      </x:c>
      <x:c r="G9" s="24" t="n">
        <x:f>IF('Setup'!$B$22&gt;0,"",'Capacity'!N78*C9)</x:f>
        <x:v>6107</x:v>
      </x:c>
      <x:c r="H9" s="24" t="n">
        <x:f>IF('Setup'!$B$22&gt;0,"",'Capacity'!N79*C9)</x:f>
        <x:v>5496</x:v>
      </x:c>
      <x:c r="I9" s="24" t="n">
        <x:f>IF('Setup'!$B$22&gt;0,"",'Capacity'!N80*C9)</x:f>
        <x:v>5089</x:v>
      </x:c>
      <x:c r="J9" s="24" t="n">
        <x:f>IF('Setup'!$B$22&gt;0,"",MIN(G9:I9))</x:f>
        <x:v>5089</x:v>
      </x:c>
      <x:c r="K9" s="24" t="n">
        <x:f>IF('Setup'!$B$22&gt;0,"",MIN(F9,J9))</x:f>
        <x:v>5089</x:v>
      </x:c>
      <x:c r="L9" s="24" t="n">
        <x:f>IF('Setup'!$B$22&gt;0,"",MAX(0,F9-K9))</x:f>
        <x:v>8244</x:v>
      </x:c>
      <x:c r="M9" s="23" t="n">
        <x:f>IF('Setup'!$B$22&gt;0,"",IF(J9=0,0,K9/J9))</x:f>
        <x:v>1</x:v>
      </x:c>
      <x:c r="N9" s="25" t="n">
        <x:f>IF('Setup'!$B$22&gt;0,"",SUM('Capacity'!Z78:Z80)*C9)</x:f>
        <x:v>8825.28</x:v>
      </x:c>
      <x:c r="O9" s="25" t="n">
        <x:f>IF('Setup'!$B$22&gt;0,"",SUM('Capacity'!Q78:Q80)*C9)</x:f>
        <x:v>0</x:v>
      </x:c>
      <x:c r="P9" s="1" t="str">
        <x:f>IF('Setup'!$B$22&gt;0,"",IF(C9=0,"Closed",INDEX('Processes'!$A$6:$A$8,MATCH(J9,G9:I9,0))))</x:f>
        <x:v>Ship</x:v>
      </x:c>
      <x:c r="Q9" s="1" t="n">
        <x:f>IF('Setup'!$B$22&gt;0,"",IF(C9=0,0,MAX(0,ROUNDUP(F9/'Capacity'!X78-'Capacity'!Y78,0)-'Capacity'!G78)))</x:f>
        <x:v>29</x:v>
      </x:c>
      <x:c r="R9" s="1" t="n">
        <x:f>IF('Setup'!$B$22&gt;0,"",IF(C9=0,0,MAX(0,ROUNDUP(F9/'Capacity'!X79-'Capacity'!Y79,0)-'Capacity'!G79)))</x:f>
        <x:v>26</x:v>
      </x:c>
      <x:c r="S9" s="1" t="n">
        <x:f>IF('Setup'!$B$22&gt;0,"",IF(C9=0,0,MAX(0,ROUNDUP(F9/'Capacity'!X80-'Capacity'!Y80,0)-'Capacity'!G80)))</x:f>
        <x:v>17</x:v>
      </x:c>
      <x:c r="T9" s="1" t="str">
        <x:f>IF('Setup'!$B$22&gt;0,"",IF(C9=0,IF(L9&gt;'Setup'!$B$7,"Backlog on closed day","Closed"),IF(OR(V9&gt;0,W9&gt;0),"Resolve staffing limits",IF(U9&gt;0,"Resolve physical limit",IF(L9&gt;'Setup'!$B$7,"Close labor capacity gap",IF(L9&gt;0,"Backlog below threshold","Within daily capacity"))))))</x:f>
        <x:v>Resolve physical limit</x:v>
      </x:c>
      <x:c r="U9" s="1" t="n">
        <x:f>IF('Setup'!$B$22&gt;0,"",IF(C9=0,0,MAX(0,F9-INT(MIN('Capacity'!M78:M80)))))</x:f>
        <x:v>6533</x:v>
      </x:c>
      <x:c r="V9" s="1" t="n">
        <x:f>IF('Setup'!$B$22&gt;0,"",SUM('Capacity'!T78:T80)*C9)</x:f>
        <x:v>0</x:v>
      </x:c>
      <x:c r="W9" s="1" t="n">
        <x:f>IF('Setup'!$B$22&gt;0,"",SUM('Capacity'!W78:W80)*C9)</x:f>
        <x:v>0</x:v>
      </x:c>
    </x:row>
    <x:row r="10" ht="23" customHeight="1">
      <x:c r="A10" s="20" t="n">
        <x:f>IF('Setup'!$B$22&gt;0,"",'Demand'!A10)</x:f>
        <x:v>46304</x:v>
      </x:c>
      <x:c r="B10" s="1" t="n">
        <x:f>IF('Setup'!$B$22&gt;0,"",'Demand'!B10)</x:f>
        <x:v>1</x:v>
      </x:c>
      <x:c r="C10" s="1" t="n">
        <x:f>IF('Setup'!$B$22&gt;0,"",'Demand'!C10)</x:f>
        <x:v>1</x:v>
      </x:c>
      <x:c r="D10" s="24" t="n">
        <x:f>IF('Setup'!$B$22&gt;0,"",ROUND('Demand'!D10*'Setup'!B19,0))</x:f>
        <x:v>7150</x:v>
      </x:c>
      <x:c r="E10" s="24" t="n">
        <x:f>IF('Setup'!$B$22&gt;0,"",L9)</x:f>
        <x:v>8244</x:v>
      </x:c>
      <x:c r="F10" s="24" t="n">
        <x:f>IF('Setup'!$B$22&gt;0,"",D10+E10)</x:f>
        <x:v>15394</x:v>
      </x:c>
      <x:c r="G10" s="24" t="n">
        <x:f>IF('Setup'!$B$22&gt;0,"",'Capacity'!N78*C10)</x:f>
        <x:v>6107</x:v>
      </x:c>
      <x:c r="H10" s="24" t="n">
        <x:f>IF('Setup'!$B$22&gt;0,"",'Capacity'!N79*C10)</x:f>
        <x:v>5496</x:v>
      </x:c>
      <x:c r="I10" s="24" t="n">
        <x:f>IF('Setup'!$B$22&gt;0,"",'Capacity'!N80*C10)</x:f>
        <x:v>5089</x:v>
      </x:c>
      <x:c r="J10" s="24" t="n">
        <x:f>IF('Setup'!$B$22&gt;0,"",MIN(G10:I10))</x:f>
        <x:v>5089</x:v>
      </x:c>
      <x:c r="K10" s="24" t="n">
        <x:f>IF('Setup'!$B$22&gt;0,"",MIN(F10,J10))</x:f>
        <x:v>5089</x:v>
      </x:c>
      <x:c r="L10" s="24" t="n">
        <x:f>IF('Setup'!$B$22&gt;0,"",MAX(0,F10-K10))</x:f>
        <x:v>10305</x:v>
      </x:c>
      <x:c r="M10" s="23" t="n">
        <x:f>IF('Setup'!$B$22&gt;0,"",IF(J10=0,0,K10/J10))</x:f>
        <x:v>1</x:v>
      </x:c>
      <x:c r="N10" s="25" t="n">
        <x:f>IF('Setup'!$B$22&gt;0,"",SUM('Capacity'!Z78:Z80)*C10)</x:f>
        <x:v>8825.28</x:v>
      </x:c>
      <x:c r="O10" s="25" t="n">
        <x:f>IF('Setup'!$B$22&gt;0,"",SUM('Capacity'!Q78:Q80)*C10)</x:f>
        <x:v>0</x:v>
      </x:c>
      <x:c r="P10" s="1" t="str">
        <x:f>IF('Setup'!$B$22&gt;0,"",IF(C10=0,"Closed",INDEX('Processes'!$A$6:$A$8,MATCH(J10,G10:I10,0))))</x:f>
        <x:v>Ship</x:v>
      </x:c>
      <x:c r="Q10" s="1" t="n">
        <x:f>IF('Setup'!$B$22&gt;0,"",IF(C10=0,0,MAX(0,ROUNDUP(F10/'Capacity'!X78-'Capacity'!Y78,0)-'Capacity'!G78)))</x:f>
        <x:v>37</x:v>
      </x:c>
      <x:c r="R10" s="1" t="n">
        <x:f>IF('Setup'!$B$22&gt;0,"",IF(C10=0,0,MAX(0,ROUNDUP(F10/'Capacity'!X79-'Capacity'!Y79,0)-'Capacity'!G79)))</x:f>
        <x:v>33</x:v>
      </x:c>
      <x:c r="S10" s="1" t="n">
        <x:f>IF('Setup'!$B$22&gt;0,"",IF(C10=0,0,MAX(0,ROUNDUP(F10/'Capacity'!X80-'Capacity'!Y80,0)-'Capacity'!G80)))</x:f>
        <x:v>21</x:v>
      </x:c>
      <x:c r="T10" s="1" t="str">
        <x:f>IF('Setup'!$B$22&gt;0,"",IF(C10=0,IF(L10&gt;'Setup'!$B$7,"Backlog on closed day","Closed"),IF(OR(V10&gt;0,W10&gt;0),"Resolve staffing limits",IF(U10&gt;0,"Resolve physical limit",IF(L10&gt;'Setup'!$B$7,"Close labor capacity gap",IF(L10&gt;0,"Backlog below threshold","Within daily capacity"))))))</x:f>
        <x:v>Resolve physical limit</x:v>
      </x:c>
      <x:c r="U10" s="1" t="n">
        <x:f>IF('Setup'!$B$22&gt;0,"",IF(C10=0,0,MAX(0,F10-INT(MIN('Capacity'!M78:M80)))))</x:f>
        <x:v>8594</x:v>
      </x:c>
      <x:c r="V10" s="1" t="n">
        <x:f>IF('Setup'!$B$22&gt;0,"",SUM('Capacity'!T78:T80)*C10)</x:f>
        <x:v>0</x:v>
      </x:c>
      <x:c r="W10" s="1" t="n">
        <x:f>IF('Setup'!$B$22&gt;0,"",SUM('Capacity'!W78:W80)*C10)</x:f>
        <x:v>0</x:v>
      </x:c>
    </x:row>
    <x:row r="11" ht="23" customHeight="1">
      <x:c r="A11" s="20" t="n">
        <x:f>IF('Setup'!$B$22&gt;0,"",'Demand'!A11)</x:f>
        <x:v>46305</x:v>
      </x:c>
      <x:c r="B11" s="1" t="n">
        <x:f>IF('Setup'!$B$22&gt;0,"",'Demand'!B11)</x:f>
        <x:v>1</x:v>
      </x:c>
      <x:c r="C11" s="1" t="n">
        <x:f>IF('Setup'!$B$22&gt;0,"",'Demand'!C11)</x:f>
        <x:v>0</x:v>
      </x:c>
      <x:c r="D11" s="24" t="n">
        <x:f>IF('Setup'!$B$22&gt;0,"",ROUND('Demand'!D11*'Setup'!B19,0))</x:f>
        <x:v>0</x:v>
      </x:c>
      <x:c r="E11" s="24" t="n">
        <x:f>IF('Setup'!$B$22&gt;0,"",L10)</x:f>
        <x:v>10305</x:v>
      </x:c>
      <x:c r="F11" s="24" t="n">
        <x:f>IF('Setup'!$B$22&gt;0,"",D11+E11)</x:f>
        <x:v>10305</x:v>
      </x:c>
      <x:c r="G11" s="24" t="n">
        <x:f>IF('Setup'!$B$22&gt;0,"",'Capacity'!N78*C11)</x:f>
        <x:v>0</x:v>
      </x:c>
      <x:c r="H11" s="24" t="n">
        <x:f>IF('Setup'!$B$22&gt;0,"",'Capacity'!N79*C11)</x:f>
        <x:v>0</x:v>
      </x:c>
      <x:c r="I11" s="24" t="n">
        <x:f>IF('Setup'!$B$22&gt;0,"",'Capacity'!N80*C11)</x:f>
        <x:v>0</x:v>
      </x:c>
      <x:c r="J11" s="24" t="n">
        <x:f>IF('Setup'!$B$22&gt;0,"",MIN(G11:I11))</x:f>
        <x:v>0</x:v>
      </x:c>
      <x:c r="K11" s="24" t="n">
        <x:f>IF('Setup'!$B$22&gt;0,"",MIN(F11,J11))</x:f>
        <x:v>0</x:v>
      </x:c>
      <x:c r="L11" s="24" t="n">
        <x:f>IF('Setup'!$B$22&gt;0,"",MAX(0,F11-K11))</x:f>
        <x:v>10305</x:v>
      </x:c>
      <x:c r="M11" s="23" t="n">
        <x:f>IF('Setup'!$B$22&gt;0,"",IF(J11=0,0,K11/J11))</x:f>
        <x:v>0</x:v>
      </x:c>
      <x:c r="N11" s="25" t="n">
        <x:f>IF('Setup'!$B$22&gt;0,"",SUM('Capacity'!Z78:Z80)*C11)</x:f>
        <x:v>0</x:v>
      </x:c>
      <x:c r="O11" s="25" t="n">
        <x:f>IF('Setup'!$B$22&gt;0,"",SUM('Capacity'!Q78:Q80)*C11)</x:f>
        <x:v>0</x:v>
      </x:c>
      <x:c r="P11" s="1" t="str">
        <x:f>IF('Setup'!$B$22&gt;0,"",IF(C11=0,"Closed",INDEX('Processes'!$A$6:$A$8,MATCH(J11,G11:I11,0))))</x:f>
        <x:v>Closed</x:v>
      </x:c>
      <x:c r="Q11" s="1" t="n">
        <x:f>IF('Setup'!$B$22&gt;0,"",IF(C11=0,0,MAX(0,ROUNDUP(F11/'Capacity'!X78-'Capacity'!Y78,0)-'Capacity'!G78)))</x:f>
        <x:v>0</x:v>
      </x:c>
      <x:c r="R11" s="1" t="n">
        <x:f>IF('Setup'!$B$22&gt;0,"",IF(C11=0,0,MAX(0,ROUNDUP(F11/'Capacity'!X79-'Capacity'!Y79,0)-'Capacity'!G79)))</x:f>
        <x:v>0</x:v>
      </x:c>
      <x:c r="S11" s="1" t="n">
        <x:f>IF('Setup'!$B$22&gt;0,"",IF(C11=0,0,MAX(0,ROUNDUP(F11/'Capacity'!X80-'Capacity'!Y80,0)-'Capacity'!G80)))</x:f>
        <x:v>0</x:v>
      </x:c>
      <x:c r="T11" s="1" t="str">
        <x:f>IF('Setup'!$B$22&gt;0,"",IF(C11=0,IF(L11&gt;'Setup'!$B$7,"Backlog on closed day","Closed"),IF(OR(V11&gt;0,W11&gt;0),"Resolve staffing limits",IF(U11&gt;0,"Resolve physical limit",IF(L11&gt;'Setup'!$B$7,"Close labor capacity gap",IF(L11&gt;0,"Backlog below threshold","Within daily capacity"))))))</x:f>
        <x:v>Backlog on closed day</x:v>
      </x:c>
      <x:c r="U11" s="1" t="n">
        <x:f>IF('Setup'!$B$22&gt;0,"",IF(C11=0,0,MAX(0,F11-INT(MIN('Capacity'!M78:M80)))))</x:f>
        <x:v>0</x:v>
      </x:c>
      <x:c r="V11" s="1" t="n">
        <x:f>IF('Setup'!$B$22&gt;0,"",SUM('Capacity'!T78:T80)*C11)</x:f>
        <x:v>0</x:v>
      </x:c>
      <x:c r="W11" s="1" t="n">
        <x:f>IF('Setup'!$B$22&gt;0,"",SUM('Capacity'!W78:W80)*C11)</x:f>
        <x:v>0</x:v>
      </x:c>
    </x:row>
    <x:row r="12" ht="23" customHeight="1">
      <x:c r="A12" s="20" t="n">
        <x:f>IF('Setup'!$B$22&gt;0,"",'Demand'!A12)</x:f>
        <x:v>46306</x:v>
      </x:c>
      <x:c r="B12" s="1" t="n">
        <x:f>IF('Setup'!$B$22&gt;0,"",'Demand'!B12)</x:f>
        <x:v>1</x:v>
      </x:c>
      <x:c r="C12" s="1" t="n">
        <x:f>IF('Setup'!$B$22&gt;0,"",'Demand'!C12)</x:f>
        <x:v>0</x:v>
      </x:c>
      <x:c r="D12" s="24" t="n">
        <x:f>IF('Setup'!$B$22&gt;0,"",ROUND('Demand'!D12*'Setup'!B19,0))</x:f>
        <x:v>0</x:v>
      </x:c>
      <x:c r="E12" s="24" t="n">
        <x:f>IF('Setup'!$B$22&gt;0,"",L11)</x:f>
        <x:v>10305</x:v>
      </x:c>
      <x:c r="F12" s="24" t="n">
        <x:f>IF('Setup'!$B$22&gt;0,"",D12+E12)</x:f>
        <x:v>10305</x:v>
      </x:c>
      <x:c r="G12" s="24" t="n">
        <x:f>IF('Setup'!$B$22&gt;0,"",'Capacity'!N78*C12)</x:f>
        <x:v>0</x:v>
      </x:c>
      <x:c r="H12" s="24" t="n">
        <x:f>IF('Setup'!$B$22&gt;0,"",'Capacity'!N79*C12)</x:f>
        <x:v>0</x:v>
      </x:c>
      <x:c r="I12" s="24" t="n">
        <x:f>IF('Setup'!$B$22&gt;0,"",'Capacity'!N80*C12)</x:f>
        <x:v>0</x:v>
      </x:c>
      <x:c r="J12" s="24" t="n">
        <x:f>IF('Setup'!$B$22&gt;0,"",MIN(G12:I12))</x:f>
        <x:v>0</x:v>
      </x:c>
      <x:c r="K12" s="24" t="n">
        <x:f>IF('Setup'!$B$22&gt;0,"",MIN(F12,J12))</x:f>
        <x:v>0</x:v>
      </x:c>
      <x:c r="L12" s="24" t="n">
        <x:f>IF('Setup'!$B$22&gt;0,"",MAX(0,F12-K12))</x:f>
        <x:v>10305</x:v>
      </x:c>
      <x:c r="M12" s="23" t="n">
        <x:f>IF('Setup'!$B$22&gt;0,"",IF(J12=0,0,K12/J12))</x:f>
        <x:v>0</x:v>
      </x:c>
      <x:c r="N12" s="25" t="n">
        <x:f>IF('Setup'!$B$22&gt;0,"",SUM('Capacity'!Z78:Z80)*C12)</x:f>
        <x:v>0</x:v>
      </x:c>
      <x:c r="O12" s="25" t="n">
        <x:f>IF('Setup'!$B$22&gt;0,"",SUM('Capacity'!Q78:Q80)*C12)</x:f>
        <x:v>0</x:v>
      </x:c>
      <x:c r="P12" s="1" t="str">
        <x:f>IF('Setup'!$B$22&gt;0,"",IF(C12=0,"Closed",INDEX('Processes'!$A$6:$A$8,MATCH(J12,G12:I12,0))))</x:f>
        <x:v>Closed</x:v>
      </x:c>
      <x:c r="Q12" s="1" t="n">
        <x:f>IF('Setup'!$B$22&gt;0,"",IF(C12=0,0,MAX(0,ROUNDUP(F12/'Capacity'!X78-'Capacity'!Y78,0)-'Capacity'!G78)))</x:f>
        <x:v>0</x:v>
      </x:c>
      <x:c r="R12" s="1" t="n">
        <x:f>IF('Setup'!$B$22&gt;0,"",IF(C12=0,0,MAX(0,ROUNDUP(F12/'Capacity'!X79-'Capacity'!Y79,0)-'Capacity'!G79)))</x:f>
        <x:v>0</x:v>
      </x:c>
      <x:c r="S12" s="1" t="n">
        <x:f>IF('Setup'!$B$22&gt;0,"",IF(C12=0,0,MAX(0,ROUNDUP(F12/'Capacity'!X80-'Capacity'!Y80,0)-'Capacity'!G80)))</x:f>
        <x:v>0</x:v>
      </x:c>
      <x:c r="T12" s="1" t="str">
        <x:f>IF('Setup'!$B$22&gt;0,"",IF(C12=0,IF(L12&gt;'Setup'!$B$7,"Backlog on closed day","Closed"),IF(OR(V12&gt;0,W12&gt;0),"Resolve staffing limits",IF(U12&gt;0,"Resolve physical limit",IF(L12&gt;'Setup'!$B$7,"Close labor capacity gap",IF(L12&gt;0,"Backlog below threshold","Within daily capacity"))))))</x:f>
        <x:v>Backlog on closed day</x:v>
      </x:c>
      <x:c r="U12" s="1" t="n">
        <x:f>IF('Setup'!$B$22&gt;0,"",IF(C12=0,0,MAX(0,F12-INT(MIN('Capacity'!M78:M80)))))</x:f>
        <x:v>0</x:v>
      </x:c>
      <x:c r="V12" s="1" t="n">
        <x:f>IF('Setup'!$B$22&gt;0,"",SUM('Capacity'!T78:T80)*C12)</x:f>
        <x:v>0</x:v>
      </x:c>
      <x:c r="W12" s="1" t="n">
        <x:f>IF('Setup'!$B$22&gt;0,"",SUM('Capacity'!W78:W80)*C12)</x:f>
        <x:v>0</x:v>
      </x:c>
    </x:row>
    <x:row r="13" ht="23" customHeight="1">
      <x:c r="A13" s="20" t="n">
        <x:f>IF('Setup'!$B$22&gt;0,"",'Demand'!A13)</x:f>
        <x:v>46307</x:v>
      </x:c>
      <x:c r="B13" s="1" t="n">
        <x:f>IF('Setup'!$B$22&gt;0,"",'Demand'!B13)</x:f>
        <x:v>2</x:v>
      </x:c>
      <x:c r="C13" s="1" t="n">
        <x:f>IF('Setup'!$B$22&gt;0,"",'Demand'!C13)</x:f>
        <x:v>1</x:v>
      </x:c>
      <x:c r="D13" s="24" t="n">
        <x:f>IF('Setup'!$B$22&gt;0,"",ROUND('Demand'!D13*'Setup'!B19,0))</x:f>
        <x:v>7700</x:v>
      </x:c>
      <x:c r="E13" s="24" t="n">
        <x:f>IF('Setup'!$B$22&gt;0,"",L12)</x:f>
        <x:v>10305</x:v>
      </x:c>
      <x:c r="F13" s="24" t="n">
        <x:f>IF('Setup'!$B$22&gt;0,"",D13+E13)</x:f>
        <x:v>18005</x:v>
      </x:c>
      <x:c r="G13" s="24" t="n">
        <x:f>IF('Setup'!$B$22&gt;0,"",'Capacity'!N81*C13)</x:f>
        <x:v>6107</x:v>
      </x:c>
      <x:c r="H13" s="24" t="n">
        <x:f>IF('Setup'!$B$22&gt;0,"",'Capacity'!N82*C13)</x:f>
        <x:v>5496</x:v>
      </x:c>
      <x:c r="I13" s="24" t="n">
        <x:f>IF('Setup'!$B$22&gt;0,"",'Capacity'!N83*C13)</x:f>
        <x:v>5089</x:v>
      </x:c>
      <x:c r="J13" s="24" t="n">
        <x:f>IF('Setup'!$B$22&gt;0,"",MIN(G13:I13))</x:f>
        <x:v>5089</x:v>
      </x:c>
      <x:c r="K13" s="24" t="n">
        <x:f>IF('Setup'!$B$22&gt;0,"",MIN(F13,J13))</x:f>
        <x:v>5089</x:v>
      </x:c>
      <x:c r="L13" s="24" t="n">
        <x:f>IF('Setup'!$B$22&gt;0,"",MAX(0,F13-K13))</x:f>
        <x:v>12916</x:v>
      </x:c>
      <x:c r="M13" s="23" t="n">
        <x:f>IF('Setup'!$B$22&gt;0,"",IF(J13=0,0,K13/J13))</x:f>
        <x:v>1</x:v>
      </x:c>
      <x:c r="N13" s="25" t="n">
        <x:f>IF('Setup'!$B$22&gt;0,"",SUM('Capacity'!Z81:Z83)*C13)</x:f>
        <x:v>8825.28</x:v>
      </x:c>
      <x:c r="O13" s="25" t="n">
        <x:f>IF('Setup'!$B$22&gt;0,"",SUM('Capacity'!Q81:Q83)*C13)</x:f>
        <x:v>0</x:v>
      </x:c>
      <x:c r="P13" s="1" t="str">
        <x:f>IF('Setup'!$B$22&gt;0,"",IF(C13=0,"Closed",INDEX('Processes'!$A$6:$A$8,MATCH(J13,G13:I13,0))))</x:f>
        <x:v>Ship</x:v>
      </x:c>
      <x:c r="Q13" s="1" t="n">
        <x:f>IF('Setup'!$B$22&gt;0,"",IF(C13=0,0,MAX(0,ROUNDUP(F13/'Capacity'!X81-'Capacity'!Y81,0)-'Capacity'!G81)))</x:f>
        <x:v>47</x:v>
      </x:c>
      <x:c r="R13" s="1" t="n">
        <x:f>IF('Setup'!$B$22&gt;0,"",IF(C13=0,0,MAX(0,ROUNDUP(F13/'Capacity'!X82-'Capacity'!Y82,0)-'Capacity'!G82)))</x:f>
        <x:v>41</x:v>
      </x:c>
      <x:c r="S13" s="1" t="n">
        <x:f>IF('Setup'!$B$22&gt;0,"",IF(C13=0,0,MAX(0,ROUNDUP(F13/'Capacity'!X83-'Capacity'!Y83,0)-'Capacity'!G83)))</x:f>
        <x:v>26</x:v>
      </x:c>
      <x:c r="T13" s="1" t="str">
        <x:f>IF('Setup'!$B$22&gt;0,"",IF(C13=0,IF(L13&gt;'Setup'!$B$7,"Backlog on closed day","Closed"),IF(OR(V13&gt;0,W13&gt;0),"Resolve staffing limits",IF(U13&gt;0,"Resolve physical limit",IF(L13&gt;'Setup'!$B$7,"Close labor capacity gap",IF(L13&gt;0,"Backlog below threshold","Within daily capacity"))))))</x:f>
        <x:v>Resolve physical limit</x:v>
      </x:c>
      <x:c r="U13" s="1" t="n">
        <x:f>IF('Setup'!$B$22&gt;0,"",IF(C13=0,0,MAX(0,F13-INT(MIN('Capacity'!M81:M83)))))</x:f>
        <x:v>11205</x:v>
      </x:c>
      <x:c r="V13" s="1" t="n">
        <x:f>IF('Setup'!$B$22&gt;0,"",SUM('Capacity'!T81:T83)*C13)</x:f>
        <x:v>0</x:v>
      </x:c>
      <x:c r="W13" s="1" t="n">
        <x:f>IF('Setup'!$B$22&gt;0,"",SUM('Capacity'!W81:W83)*C13)</x:f>
        <x:v>0</x:v>
      </x:c>
    </x:row>
    <x:row r="14" ht="23" customHeight="1">
      <x:c r="A14" s="20" t="n">
        <x:f>IF('Setup'!$B$22&gt;0,"",'Demand'!A14)</x:f>
        <x:v>46308</x:v>
      </x:c>
      <x:c r="B14" s="1" t="n">
        <x:f>IF('Setup'!$B$22&gt;0,"",'Demand'!B14)</x:f>
        <x:v>2</x:v>
      </x:c>
      <x:c r="C14" s="1" t="n">
        <x:f>IF('Setup'!$B$22&gt;0,"",'Demand'!C14)</x:f>
        <x:v>1</x:v>
      </x:c>
      <x:c r="D14" s="24" t="n">
        <x:f>IF('Setup'!$B$22&gt;0,"",ROUND('Demand'!D14*'Setup'!B19,0))</x:f>
        <x:v>7700</x:v>
      </x:c>
      <x:c r="E14" s="24" t="n">
        <x:f>IF('Setup'!$B$22&gt;0,"",L13)</x:f>
        <x:v>12916</x:v>
      </x:c>
      <x:c r="F14" s="24" t="n">
        <x:f>IF('Setup'!$B$22&gt;0,"",D14+E14)</x:f>
        <x:v>20616</x:v>
      </x:c>
      <x:c r="G14" s="24" t="n">
        <x:f>IF('Setup'!$B$22&gt;0,"",'Capacity'!N81*C14)</x:f>
        <x:v>6107</x:v>
      </x:c>
      <x:c r="H14" s="24" t="n">
        <x:f>IF('Setup'!$B$22&gt;0,"",'Capacity'!N82*C14)</x:f>
        <x:v>5496</x:v>
      </x:c>
      <x:c r="I14" s="24" t="n">
        <x:f>IF('Setup'!$B$22&gt;0,"",'Capacity'!N83*C14)</x:f>
        <x:v>5089</x:v>
      </x:c>
      <x:c r="J14" s="24" t="n">
        <x:f>IF('Setup'!$B$22&gt;0,"",MIN(G14:I14))</x:f>
        <x:v>5089</x:v>
      </x:c>
      <x:c r="K14" s="24" t="n">
        <x:f>IF('Setup'!$B$22&gt;0,"",MIN(F14,J14))</x:f>
        <x:v>5089</x:v>
      </x:c>
      <x:c r="L14" s="24" t="n">
        <x:f>IF('Setup'!$B$22&gt;0,"",MAX(0,F14-K14))</x:f>
        <x:v>15527</x:v>
      </x:c>
      <x:c r="M14" s="23" t="n">
        <x:f>IF('Setup'!$B$22&gt;0,"",IF(J14=0,0,K14/J14))</x:f>
        <x:v>1</x:v>
      </x:c>
      <x:c r="N14" s="25" t="n">
        <x:f>IF('Setup'!$B$22&gt;0,"",SUM('Capacity'!Z81:Z83)*C14)</x:f>
        <x:v>8825.28</x:v>
      </x:c>
      <x:c r="O14" s="25" t="n">
        <x:f>IF('Setup'!$B$22&gt;0,"",SUM('Capacity'!Q81:Q83)*C14)</x:f>
        <x:v>0</x:v>
      </x:c>
      <x:c r="P14" s="1" t="str">
        <x:f>IF('Setup'!$B$22&gt;0,"",IF(C14=0,"Closed",INDEX('Processes'!$A$6:$A$8,MATCH(J14,G14:I14,0))))</x:f>
        <x:v>Ship</x:v>
      </x:c>
      <x:c r="Q14" s="1" t="n">
        <x:f>IF('Setup'!$B$22&gt;0,"",IF(C14=0,0,MAX(0,ROUNDUP(F14/'Capacity'!X81-'Capacity'!Y81,0)-'Capacity'!G81)))</x:f>
        <x:v>58</x:v>
      </x:c>
      <x:c r="R14" s="1" t="n">
        <x:f>IF('Setup'!$B$22&gt;0,"",IF(C14=0,0,MAX(0,ROUNDUP(F14/'Capacity'!X82-'Capacity'!Y82,0)-'Capacity'!G82)))</x:f>
        <x:v>50</x:v>
      </x:c>
      <x:c r="S14" s="1" t="n">
        <x:f>IF('Setup'!$B$22&gt;0,"",IF(C14=0,0,MAX(0,ROUNDUP(F14/'Capacity'!X83-'Capacity'!Y83,0)-'Capacity'!G83)))</x:f>
        <x:v>31</x:v>
      </x:c>
      <x:c r="T14" s="1" t="str">
        <x:f>IF('Setup'!$B$22&gt;0,"",IF(C14=0,IF(L14&gt;'Setup'!$B$7,"Backlog on closed day","Closed"),IF(OR(V14&gt;0,W14&gt;0),"Resolve staffing limits",IF(U14&gt;0,"Resolve physical limit",IF(L14&gt;'Setup'!$B$7,"Close labor capacity gap",IF(L14&gt;0,"Backlog below threshold","Within daily capacity"))))))</x:f>
        <x:v>Resolve physical limit</x:v>
      </x:c>
      <x:c r="U14" s="1" t="n">
        <x:f>IF('Setup'!$B$22&gt;0,"",IF(C14=0,0,MAX(0,F14-INT(MIN('Capacity'!M81:M83)))))</x:f>
        <x:v>13816</x:v>
      </x:c>
      <x:c r="V14" s="1" t="n">
        <x:f>IF('Setup'!$B$22&gt;0,"",SUM('Capacity'!T81:T83)*C14)</x:f>
        <x:v>0</x:v>
      </x:c>
      <x:c r="W14" s="1" t="n">
        <x:f>IF('Setup'!$B$22&gt;0,"",SUM('Capacity'!W81:W83)*C14)</x:f>
        <x:v>0</x:v>
      </x:c>
    </x:row>
    <x:row r="15" ht="23" customHeight="1">
      <x:c r="A15" s="20" t="n">
        <x:f>IF('Setup'!$B$22&gt;0,"",'Demand'!A15)</x:f>
        <x:v>46309</x:v>
      </x:c>
      <x:c r="B15" s="1" t="n">
        <x:f>IF('Setup'!$B$22&gt;0,"",'Demand'!B15)</x:f>
        <x:v>2</x:v>
      </x:c>
      <x:c r="C15" s="1" t="n">
        <x:f>IF('Setup'!$B$22&gt;0,"",'Demand'!C15)</x:f>
        <x:v>1</x:v>
      </x:c>
      <x:c r="D15" s="24" t="n">
        <x:f>IF('Setup'!$B$22&gt;0,"",ROUND('Demand'!D15*'Setup'!B19,0))</x:f>
        <x:v>7700</x:v>
      </x:c>
      <x:c r="E15" s="24" t="n">
        <x:f>IF('Setup'!$B$22&gt;0,"",L14)</x:f>
        <x:v>15527</x:v>
      </x:c>
      <x:c r="F15" s="24" t="n">
        <x:f>IF('Setup'!$B$22&gt;0,"",D15+E15)</x:f>
        <x:v>23227</x:v>
      </x:c>
      <x:c r="G15" s="24" t="n">
        <x:f>IF('Setup'!$B$22&gt;0,"",'Capacity'!N81*C15)</x:f>
        <x:v>6107</x:v>
      </x:c>
      <x:c r="H15" s="24" t="n">
        <x:f>IF('Setup'!$B$22&gt;0,"",'Capacity'!N82*C15)</x:f>
        <x:v>5496</x:v>
      </x:c>
      <x:c r="I15" s="24" t="n">
        <x:f>IF('Setup'!$B$22&gt;0,"",'Capacity'!N83*C15)</x:f>
        <x:v>5089</x:v>
      </x:c>
      <x:c r="J15" s="24" t="n">
        <x:f>IF('Setup'!$B$22&gt;0,"",MIN(G15:I15))</x:f>
        <x:v>5089</x:v>
      </x:c>
      <x:c r="K15" s="24" t="n">
        <x:f>IF('Setup'!$B$22&gt;0,"",MIN(F15,J15))</x:f>
        <x:v>5089</x:v>
      </x:c>
      <x:c r="L15" s="24" t="n">
        <x:f>IF('Setup'!$B$22&gt;0,"",MAX(0,F15-K15))</x:f>
        <x:v>18138</x:v>
      </x:c>
      <x:c r="M15" s="23" t="n">
        <x:f>IF('Setup'!$B$22&gt;0,"",IF(J15=0,0,K15/J15))</x:f>
        <x:v>1</x:v>
      </x:c>
      <x:c r="N15" s="25" t="n">
        <x:f>IF('Setup'!$B$22&gt;0,"",SUM('Capacity'!Z81:Z83)*C15)</x:f>
        <x:v>8825.28</x:v>
      </x:c>
      <x:c r="O15" s="25" t="n">
        <x:f>IF('Setup'!$B$22&gt;0,"",SUM('Capacity'!Q81:Q83)*C15)</x:f>
        <x:v>0</x:v>
      </x:c>
      <x:c r="P15" s="1" t="str">
        <x:f>IF('Setup'!$B$22&gt;0,"",IF(C15=0,"Closed",INDEX('Processes'!$A$6:$A$8,MATCH(J15,G15:I15,0))))</x:f>
        <x:v>Ship</x:v>
      </x:c>
      <x:c r="Q15" s="1" t="n">
        <x:f>IF('Setup'!$B$22&gt;0,"",IF(C15=0,0,MAX(0,ROUNDUP(F15/'Capacity'!X81-'Capacity'!Y81,0)-'Capacity'!G81)))</x:f>
        <x:v>68</x:v>
      </x:c>
      <x:c r="R15" s="1" t="n">
        <x:f>IF('Setup'!$B$22&gt;0,"",IF(C15=0,0,MAX(0,ROUNDUP(F15/'Capacity'!X82-'Capacity'!Y82,0)-'Capacity'!G82)))</x:f>
        <x:v>59</x:v>
      </x:c>
      <x:c r="S15" s="1" t="n">
        <x:f>IF('Setup'!$B$22&gt;0,"",IF(C15=0,0,MAX(0,ROUNDUP(F15/'Capacity'!X83-'Capacity'!Y83,0)-'Capacity'!G83)))</x:f>
        <x:v>36</x:v>
      </x:c>
      <x:c r="T15" s="1" t="str">
        <x:f>IF('Setup'!$B$22&gt;0,"",IF(C15=0,IF(L15&gt;'Setup'!$B$7,"Backlog on closed day","Closed"),IF(OR(V15&gt;0,W15&gt;0),"Resolve staffing limits",IF(U15&gt;0,"Resolve physical limit",IF(L15&gt;'Setup'!$B$7,"Close labor capacity gap",IF(L15&gt;0,"Backlog below threshold","Within daily capacity"))))))</x:f>
        <x:v>Resolve physical limit</x:v>
      </x:c>
      <x:c r="U15" s="1" t="n">
        <x:f>IF('Setup'!$B$22&gt;0,"",IF(C15=0,0,MAX(0,F15-INT(MIN('Capacity'!M81:M83)))))</x:f>
        <x:v>16427</x:v>
      </x:c>
      <x:c r="V15" s="1" t="n">
        <x:f>IF('Setup'!$B$22&gt;0,"",SUM('Capacity'!T81:T83)*C15)</x:f>
        <x:v>0</x:v>
      </x:c>
      <x:c r="W15" s="1" t="n">
        <x:f>IF('Setup'!$B$22&gt;0,"",SUM('Capacity'!W81:W83)*C15)</x:f>
        <x:v>0</x:v>
      </x:c>
    </x:row>
    <x:row r="16" ht="23" customHeight="1">
      <x:c r="A16" s="20" t="n">
        <x:f>IF('Setup'!$B$22&gt;0,"",'Demand'!A16)</x:f>
        <x:v>46310</x:v>
      </x:c>
      <x:c r="B16" s="1" t="n">
        <x:f>IF('Setup'!$B$22&gt;0,"",'Demand'!B16)</x:f>
        <x:v>2</x:v>
      </x:c>
      <x:c r="C16" s="1" t="n">
        <x:f>IF('Setup'!$B$22&gt;0,"",'Demand'!C16)</x:f>
        <x:v>1</x:v>
      </x:c>
      <x:c r="D16" s="24" t="n">
        <x:f>IF('Setup'!$B$22&gt;0,"",ROUND('Demand'!D16*'Setup'!B19,0))</x:f>
        <x:v>7700</x:v>
      </x:c>
      <x:c r="E16" s="24" t="n">
        <x:f>IF('Setup'!$B$22&gt;0,"",L15)</x:f>
        <x:v>18138</x:v>
      </x:c>
      <x:c r="F16" s="24" t="n">
        <x:f>IF('Setup'!$B$22&gt;0,"",D16+E16)</x:f>
        <x:v>25838</x:v>
      </x:c>
      <x:c r="G16" s="24" t="n">
        <x:f>IF('Setup'!$B$22&gt;0,"",'Capacity'!N81*C16)</x:f>
        <x:v>6107</x:v>
      </x:c>
      <x:c r="H16" s="24" t="n">
        <x:f>IF('Setup'!$B$22&gt;0,"",'Capacity'!N82*C16)</x:f>
        <x:v>5496</x:v>
      </x:c>
      <x:c r="I16" s="24" t="n">
        <x:f>IF('Setup'!$B$22&gt;0,"",'Capacity'!N83*C16)</x:f>
        <x:v>5089</x:v>
      </x:c>
      <x:c r="J16" s="24" t="n">
        <x:f>IF('Setup'!$B$22&gt;0,"",MIN(G16:I16))</x:f>
        <x:v>5089</x:v>
      </x:c>
      <x:c r="K16" s="24" t="n">
        <x:f>IF('Setup'!$B$22&gt;0,"",MIN(F16,J16))</x:f>
        <x:v>5089</x:v>
      </x:c>
      <x:c r="L16" s="24" t="n">
        <x:f>IF('Setup'!$B$22&gt;0,"",MAX(0,F16-K16))</x:f>
        <x:v>20749</x:v>
      </x:c>
      <x:c r="M16" s="23" t="n">
        <x:f>IF('Setup'!$B$22&gt;0,"",IF(J16=0,0,K16/J16))</x:f>
        <x:v>1</x:v>
      </x:c>
      <x:c r="N16" s="25" t="n">
        <x:f>IF('Setup'!$B$22&gt;0,"",SUM('Capacity'!Z81:Z83)*C16)</x:f>
        <x:v>8825.28</x:v>
      </x:c>
      <x:c r="O16" s="25" t="n">
        <x:f>IF('Setup'!$B$22&gt;0,"",SUM('Capacity'!Q81:Q83)*C16)</x:f>
        <x:v>0</x:v>
      </x:c>
      <x:c r="P16" s="1" t="str">
        <x:f>IF('Setup'!$B$22&gt;0,"",IF(C16=0,"Closed",INDEX('Processes'!$A$6:$A$8,MATCH(J16,G16:I16,0))))</x:f>
        <x:v>Ship</x:v>
      </x:c>
      <x:c r="Q16" s="1" t="n">
        <x:f>IF('Setup'!$B$22&gt;0,"",IF(C16=0,0,MAX(0,ROUNDUP(F16/'Capacity'!X81-'Capacity'!Y81,0)-'Capacity'!G81)))</x:f>
        <x:v>78</x:v>
      </x:c>
      <x:c r="R16" s="1" t="n">
        <x:f>IF('Setup'!$B$22&gt;0,"",IF(C16=0,0,MAX(0,ROUNDUP(F16/'Capacity'!X82-'Capacity'!Y82,0)-'Capacity'!G82)))</x:f>
        <x:v>67</x:v>
      </x:c>
      <x:c r="S16" s="1" t="n">
        <x:f>IF('Setup'!$B$22&gt;0,"",IF(C16=0,0,MAX(0,ROUNDUP(F16/'Capacity'!X83-'Capacity'!Y83,0)-'Capacity'!G83)))</x:f>
        <x:v>41</x:v>
      </x:c>
      <x:c r="T16" s="1" t="str">
        <x:f>IF('Setup'!$B$22&gt;0,"",IF(C16=0,IF(L16&gt;'Setup'!$B$7,"Backlog on closed day","Closed"),IF(OR(V16&gt;0,W16&gt;0),"Resolve staffing limits",IF(U16&gt;0,"Resolve physical limit",IF(L16&gt;'Setup'!$B$7,"Close labor capacity gap",IF(L16&gt;0,"Backlog below threshold","Within daily capacity"))))))</x:f>
        <x:v>Resolve physical limit</x:v>
      </x:c>
      <x:c r="U16" s="1" t="n">
        <x:f>IF('Setup'!$B$22&gt;0,"",IF(C16=0,0,MAX(0,F16-INT(MIN('Capacity'!M81:M83)))))</x:f>
        <x:v>19038</x:v>
      </x:c>
      <x:c r="V16" s="1" t="n">
        <x:f>IF('Setup'!$B$22&gt;0,"",SUM('Capacity'!T81:T83)*C16)</x:f>
        <x:v>0</x:v>
      </x:c>
      <x:c r="W16" s="1" t="n">
        <x:f>IF('Setup'!$B$22&gt;0,"",SUM('Capacity'!W81:W83)*C16)</x:f>
        <x:v>0</x:v>
      </x:c>
    </x:row>
    <x:row r="17" ht="23" customHeight="1">
      <x:c r="A17" s="20" t="n">
        <x:f>IF('Setup'!$B$22&gt;0,"",'Demand'!A17)</x:f>
        <x:v>46311</x:v>
      </x:c>
      <x:c r="B17" s="1" t="n">
        <x:f>IF('Setup'!$B$22&gt;0,"",'Demand'!B17)</x:f>
        <x:v>2</x:v>
      </x:c>
      <x:c r="C17" s="1" t="n">
        <x:f>IF('Setup'!$B$22&gt;0,"",'Demand'!C17)</x:f>
        <x:v>1</x:v>
      </x:c>
      <x:c r="D17" s="24" t="n">
        <x:f>IF('Setup'!$B$22&gt;0,"",ROUND('Demand'!D17*'Setup'!B19,0))</x:f>
        <x:v>7700</x:v>
      </x:c>
      <x:c r="E17" s="24" t="n">
        <x:f>IF('Setup'!$B$22&gt;0,"",L16)</x:f>
        <x:v>20749</x:v>
      </x:c>
      <x:c r="F17" s="24" t="n">
        <x:f>IF('Setup'!$B$22&gt;0,"",D17+E17)</x:f>
        <x:v>28449</x:v>
      </x:c>
      <x:c r="G17" s="24" t="n">
        <x:f>IF('Setup'!$B$22&gt;0,"",'Capacity'!N81*C17)</x:f>
        <x:v>6107</x:v>
      </x:c>
      <x:c r="H17" s="24" t="n">
        <x:f>IF('Setup'!$B$22&gt;0,"",'Capacity'!N82*C17)</x:f>
        <x:v>5496</x:v>
      </x:c>
      <x:c r="I17" s="24" t="n">
        <x:f>IF('Setup'!$B$22&gt;0,"",'Capacity'!N83*C17)</x:f>
        <x:v>5089</x:v>
      </x:c>
      <x:c r="J17" s="24" t="n">
        <x:f>IF('Setup'!$B$22&gt;0,"",MIN(G17:I17))</x:f>
        <x:v>5089</x:v>
      </x:c>
      <x:c r="K17" s="24" t="n">
        <x:f>IF('Setup'!$B$22&gt;0,"",MIN(F17,J17))</x:f>
        <x:v>5089</x:v>
      </x:c>
      <x:c r="L17" s="24" t="n">
        <x:f>IF('Setup'!$B$22&gt;0,"",MAX(0,F17-K17))</x:f>
        <x:v>23360</x:v>
      </x:c>
      <x:c r="M17" s="23" t="n">
        <x:f>IF('Setup'!$B$22&gt;0,"",IF(J17=0,0,K17/J17))</x:f>
        <x:v>1</x:v>
      </x:c>
      <x:c r="N17" s="25" t="n">
        <x:f>IF('Setup'!$B$22&gt;0,"",SUM('Capacity'!Z81:Z83)*C17)</x:f>
        <x:v>8825.28</x:v>
      </x:c>
      <x:c r="O17" s="25" t="n">
        <x:f>IF('Setup'!$B$22&gt;0,"",SUM('Capacity'!Q81:Q83)*C17)</x:f>
        <x:v>0</x:v>
      </x:c>
      <x:c r="P17" s="1" t="str">
        <x:f>IF('Setup'!$B$22&gt;0,"",IF(C17=0,"Closed",INDEX('Processes'!$A$6:$A$8,MATCH(J17,G17:I17,0))))</x:f>
        <x:v>Ship</x:v>
      </x:c>
      <x:c r="Q17" s="1" t="n">
        <x:f>IF('Setup'!$B$22&gt;0,"",IF(C17=0,0,MAX(0,ROUNDUP(F17/'Capacity'!X81-'Capacity'!Y81,0)-'Capacity'!G81)))</x:f>
        <x:v>88</x:v>
      </x:c>
      <x:c r="R17" s="1" t="n">
        <x:f>IF('Setup'!$B$22&gt;0,"",IF(C17=0,0,MAX(0,ROUNDUP(F17/'Capacity'!X82-'Capacity'!Y82,0)-'Capacity'!G82)))</x:f>
        <x:v>76</x:v>
      </x:c>
      <x:c r="S17" s="1" t="n">
        <x:f>IF('Setup'!$B$22&gt;0,"",IF(C17=0,0,MAX(0,ROUNDUP(F17/'Capacity'!X83-'Capacity'!Y83,0)-'Capacity'!G83)))</x:f>
        <x:v>46</x:v>
      </x:c>
      <x:c r="T17" s="1" t="str">
        <x:f>IF('Setup'!$B$22&gt;0,"",IF(C17=0,IF(L17&gt;'Setup'!$B$7,"Backlog on closed day","Closed"),IF(OR(V17&gt;0,W17&gt;0),"Resolve staffing limits",IF(U17&gt;0,"Resolve physical limit",IF(L17&gt;'Setup'!$B$7,"Close labor capacity gap",IF(L17&gt;0,"Backlog below threshold","Within daily capacity"))))))</x:f>
        <x:v>Resolve physical limit</x:v>
      </x:c>
      <x:c r="U17" s="1" t="n">
        <x:f>IF('Setup'!$B$22&gt;0,"",IF(C17=0,0,MAX(0,F17-INT(MIN('Capacity'!M81:M83)))))</x:f>
        <x:v>21649</x:v>
      </x:c>
      <x:c r="V17" s="1" t="n">
        <x:f>IF('Setup'!$B$22&gt;0,"",SUM('Capacity'!T81:T83)*C17)</x:f>
        <x:v>0</x:v>
      </x:c>
      <x:c r="W17" s="1" t="n">
        <x:f>IF('Setup'!$B$22&gt;0,"",SUM('Capacity'!W81:W83)*C17)</x:f>
        <x:v>0</x:v>
      </x:c>
    </x:row>
    <x:row r="18" ht="23" customHeight="1">
      <x:c r="A18" s="20" t="n">
        <x:f>IF('Setup'!$B$22&gt;0,"",'Demand'!A18)</x:f>
        <x:v>46312</x:v>
      </x:c>
      <x:c r="B18" s="1" t="n">
        <x:f>IF('Setup'!$B$22&gt;0,"",'Demand'!B18)</x:f>
        <x:v>2</x:v>
      </x:c>
      <x:c r="C18" s="1" t="n">
        <x:f>IF('Setup'!$B$22&gt;0,"",'Demand'!C18)</x:f>
        <x:v>0</x:v>
      </x:c>
      <x:c r="D18" s="24" t="n">
        <x:f>IF('Setup'!$B$22&gt;0,"",ROUND('Demand'!D18*'Setup'!B19,0))</x:f>
        <x:v>0</x:v>
      </x:c>
      <x:c r="E18" s="24" t="n">
        <x:f>IF('Setup'!$B$22&gt;0,"",L17)</x:f>
        <x:v>23360</x:v>
      </x:c>
      <x:c r="F18" s="24" t="n">
        <x:f>IF('Setup'!$B$22&gt;0,"",D18+E18)</x:f>
        <x:v>23360</x:v>
      </x:c>
      <x:c r="G18" s="24" t="n">
        <x:f>IF('Setup'!$B$22&gt;0,"",'Capacity'!N81*C18)</x:f>
        <x:v>0</x:v>
      </x:c>
      <x:c r="H18" s="24" t="n">
        <x:f>IF('Setup'!$B$22&gt;0,"",'Capacity'!N82*C18)</x:f>
        <x:v>0</x:v>
      </x:c>
      <x:c r="I18" s="24" t="n">
        <x:f>IF('Setup'!$B$22&gt;0,"",'Capacity'!N83*C18)</x:f>
        <x:v>0</x:v>
      </x:c>
      <x:c r="J18" s="24" t="n">
        <x:f>IF('Setup'!$B$22&gt;0,"",MIN(G18:I18))</x:f>
        <x:v>0</x:v>
      </x:c>
      <x:c r="K18" s="24" t="n">
        <x:f>IF('Setup'!$B$22&gt;0,"",MIN(F18,J18))</x:f>
        <x:v>0</x:v>
      </x:c>
      <x:c r="L18" s="24" t="n">
        <x:f>IF('Setup'!$B$22&gt;0,"",MAX(0,F18-K18))</x:f>
        <x:v>23360</x:v>
      </x:c>
      <x:c r="M18" s="23" t="n">
        <x:f>IF('Setup'!$B$22&gt;0,"",IF(J18=0,0,K18/J18))</x:f>
        <x:v>0</x:v>
      </x:c>
      <x:c r="N18" s="25" t="n">
        <x:f>IF('Setup'!$B$22&gt;0,"",SUM('Capacity'!Z81:Z83)*C18)</x:f>
        <x:v>0</x:v>
      </x:c>
      <x:c r="O18" s="25" t="n">
        <x:f>IF('Setup'!$B$22&gt;0,"",SUM('Capacity'!Q81:Q83)*C18)</x:f>
        <x:v>0</x:v>
      </x:c>
      <x:c r="P18" s="1" t="str">
        <x:f>IF('Setup'!$B$22&gt;0,"",IF(C18=0,"Closed",INDEX('Processes'!$A$6:$A$8,MATCH(J18,G18:I18,0))))</x:f>
        <x:v>Closed</x:v>
      </x:c>
      <x:c r="Q18" s="1" t="n">
        <x:f>IF('Setup'!$B$22&gt;0,"",IF(C18=0,0,MAX(0,ROUNDUP(F18/'Capacity'!X81-'Capacity'!Y81,0)-'Capacity'!G81)))</x:f>
        <x:v>0</x:v>
      </x:c>
      <x:c r="R18" s="1" t="n">
        <x:f>IF('Setup'!$B$22&gt;0,"",IF(C18=0,0,MAX(0,ROUNDUP(F18/'Capacity'!X82-'Capacity'!Y82,0)-'Capacity'!G82)))</x:f>
        <x:v>0</x:v>
      </x:c>
      <x:c r="S18" s="1" t="n">
        <x:f>IF('Setup'!$B$22&gt;0,"",IF(C18=0,0,MAX(0,ROUNDUP(F18/'Capacity'!X83-'Capacity'!Y83,0)-'Capacity'!G83)))</x:f>
        <x:v>0</x:v>
      </x:c>
      <x:c r="T18" s="1" t="str">
        <x:f>IF('Setup'!$B$22&gt;0,"",IF(C18=0,IF(L18&gt;'Setup'!$B$7,"Backlog on closed day","Closed"),IF(OR(V18&gt;0,W18&gt;0),"Resolve staffing limits",IF(U18&gt;0,"Resolve physical limit",IF(L18&gt;'Setup'!$B$7,"Close labor capacity gap",IF(L18&gt;0,"Backlog below threshold","Within daily capacity"))))))</x:f>
        <x:v>Backlog on closed day</x:v>
      </x:c>
      <x:c r="U18" s="1" t="n">
        <x:f>IF('Setup'!$B$22&gt;0,"",IF(C18=0,0,MAX(0,F18-INT(MIN('Capacity'!M81:M83)))))</x:f>
        <x:v>0</x:v>
      </x:c>
      <x:c r="V18" s="1" t="n">
        <x:f>IF('Setup'!$B$22&gt;0,"",SUM('Capacity'!T81:T83)*C18)</x:f>
        <x:v>0</x:v>
      </x:c>
      <x:c r="W18" s="1" t="n">
        <x:f>IF('Setup'!$B$22&gt;0,"",SUM('Capacity'!W81:W83)*C18)</x:f>
        <x:v>0</x:v>
      </x:c>
    </x:row>
    <x:row r="19" ht="23" customHeight="1">
      <x:c r="A19" s="20" t="n">
        <x:f>IF('Setup'!$B$22&gt;0,"",'Demand'!A19)</x:f>
        <x:v>46313</x:v>
      </x:c>
      <x:c r="B19" s="1" t="n">
        <x:f>IF('Setup'!$B$22&gt;0,"",'Demand'!B19)</x:f>
        <x:v>2</x:v>
      </x:c>
      <x:c r="C19" s="1" t="n">
        <x:f>IF('Setup'!$B$22&gt;0,"",'Demand'!C19)</x:f>
        <x:v>0</x:v>
      </x:c>
      <x:c r="D19" s="24" t="n">
        <x:f>IF('Setup'!$B$22&gt;0,"",ROUND('Demand'!D19*'Setup'!B19,0))</x:f>
        <x:v>0</x:v>
      </x:c>
      <x:c r="E19" s="24" t="n">
        <x:f>IF('Setup'!$B$22&gt;0,"",L18)</x:f>
        <x:v>23360</x:v>
      </x:c>
      <x:c r="F19" s="24" t="n">
        <x:f>IF('Setup'!$B$22&gt;0,"",D19+E19)</x:f>
        <x:v>23360</x:v>
      </x:c>
      <x:c r="G19" s="24" t="n">
        <x:f>IF('Setup'!$B$22&gt;0,"",'Capacity'!N81*C19)</x:f>
        <x:v>0</x:v>
      </x:c>
      <x:c r="H19" s="24" t="n">
        <x:f>IF('Setup'!$B$22&gt;0,"",'Capacity'!N82*C19)</x:f>
        <x:v>0</x:v>
      </x:c>
      <x:c r="I19" s="24" t="n">
        <x:f>IF('Setup'!$B$22&gt;0,"",'Capacity'!N83*C19)</x:f>
        <x:v>0</x:v>
      </x:c>
      <x:c r="J19" s="24" t="n">
        <x:f>IF('Setup'!$B$22&gt;0,"",MIN(G19:I19))</x:f>
        <x:v>0</x:v>
      </x:c>
      <x:c r="K19" s="24" t="n">
        <x:f>IF('Setup'!$B$22&gt;0,"",MIN(F19,J19))</x:f>
        <x:v>0</x:v>
      </x:c>
      <x:c r="L19" s="24" t="n">
        <x:f>IF('Setup'!$B$22&gt;0,"",MAX(0,F19-K19))</x:f>
        <x:v>23360</x:v>
      </x:c>
      <x:c r="M19" s="23" t="n">
        <x:f>IF('Setup'!$B$22&gt;0,"",IF(J19=0,0,K19/J19))</x:f>
        <x:v>0</x:v>
      </x:c>
      <x:c r="N19" s="25" t="n">
        <x:f>IF('Setup'!$B$22&gt;0,"",SUM('Capacity'!Z81:Z83)*C19)</x:f>
        <x:v>0</x:v>
      </x:c>
      <x:c r="O19" s="25" t="n">
        <x:f>IF('Setup'!$B$22&gt;0,"",SUM('Capacity'!Q81:Q83)*C19)</x:f>
        <x:v>0</x:v>
      </x:c>
      <x:c r="P19" s="1" t="str">
        <x:f>IF('Setup'!$B$22&gt;0,"",IF(C19=0,"Closed",INDEX('Processes'!$A$6:$A$8,MATCH(J19,G19:I19,0))))</x:f>
        <x:v>Closed</x:v>
      </x:c>
      <x:c r="Q19" s="1" t="n">
        <x:f>IF('Setup'!$B$22&gt;0,"",IF(C19=0,0,MAX(0,ROUNDUP(F19/'Capacity'!X81-'Capacity'!Y81,0)-'Capacity'!G81)))</x:f>
        <x:v>0</x:v>
      </x:c>
      <x:c r="R19" s="1" t="n">
        <x:f>IF('Setup'!$B$22&gt;0,"",IF(C19=0,0,MAX(0,ROUNDUP(F19/'Capacity'!X82-'Capacity'!Y82,0)-'Capacity'!G82)))</x:f>
        <x:v>0</x:v>
      </x:c>
      <x:c r="S19" s="1" t="n">
        <x:f>IF('Setup'!$B$22&gt;0,"",IF(C19=0,0,MAX(0,ROUNDUP(F19/'Capacity'!X83-'Capacity'!Y83,0)-'Capacity'!G83)))</x:f>
        <x:v>0</x:v>
      </x:c>
      <x:c r="T19" s="1" t="str">
        <x:f>IF('Setup'!$B$22&gt;0,"",IF(C19=0,IF(L19&gt;'Setup'!$B$7,"Backlog on closed day","Closed"),IF(OR(V19&gt;0,W19&gt;0),"Resolve staffing limits",IF(U19&gt;0,"Resolve physical limit",IF(L19&gt;'Setup'!$B$7,"Close labor capacity gap",IF(L19&gt;0,"Backlog below threshold","Within daily capacity"))))))</x:f>
        <x:v>Backlog on closed day</x:v>
      </x:c>
      <x:c r="U19" s="1" t="n">
        <x:f>IF('Setup'!$B$22&gt;0,"",IF(C19=0,0,MAX(0,F19-INT(MIN('Capacity'!M81:M83)))))</x:f>
        <x:v>0</x:v>
      </x:c>
      <x:c r="V19" s="1" t="n">
        <x:f>IF('Setup'!$B$22&gt;0,"",SUM('Capacity'!T81:T83)*C19)</x:f>
        <x:v>0</x:v>
      </x:c>
      <x:c r="W19" s="1" t="n">
        <x:f>IF('Setup'!$B$22&gt;0,"",SUM('Capacity'!W81:W83)*C19)</x:f>
        <x:v>0</x:v>
      </x:c>
    </x:row>
    <x:row r="20" ht="23" customHeight="1">
      <x:c r="A20" s="20" t="n">
        <x:f>IF('Setup'!$B$22&gt;0,"",'Demand'!A20)</x:f>
        <x:v>46314</x:v>
      </x:c>
      <x:c r="B20" s="1" t="n">
        <x:f>IF('Setup'!$B$22&gt;0,"",'Demand'!B20)</x:f>
        <x:v>3</x:v>
      </x:c>
      <x:c r="C20" s="1" t="n">
        <x:f>IF('Setup'!$B$22&gt;0,"",'Demand'!C20)</x:f>
        <x:v>1</x:v>
      </x:c>
      <x:c r="D20" s="24" t="n">
        <x:f>IF('Setup'!$B$22&gt;0,"",ROUND('Demand'!D20*'Setup'!B19,0))</x:f>
        <x:v>8800</x:v>
      </x:c>
      <x:c r="E20" s="24" t="n">
        <x:f>IF('Setup'!$B$22&gt;0,"",L19)</x:f>
        <x:v>23360</x:v>
      </x:c>
      <x:c r="F20" s="24" t="n">
        <x:f>IF('Setup'!$B$22&gt;0,"",D20+E20)</x:f>
        <x:v>32160</x:v>
      </x:c>
      <x:c r="G20" s="24" t="n">
        <x:f>IF('Setup'!$B$22&gt;0,"",'Capacity'!N84*C20)</x:f>
        <x:v>6616</x:v>
      </x:c>
      <x:c r="H20" s="24" t="n">
        <x:f>IF('Setup'!$B$22&gt;0,"",'Capacity'!N85*C20)</x:f>
        <x:v>6107</x:v>
      </x:c>
      <x:c r="I20" s="24" t="n">
        <x:f>IF('Setup'!$B$22&gt;0,"",'Capacity'!N86*C20)</x:f>
        <x:v>5852</x:v>
      </x:c>
      <x:c r="J20" s="24" t="n">
        <x:f>IF('Setup'!$B$22&gt;0,"",MIN(G20:I20))</x:f>
        <x:v>5852</x:v>
      </x:c>
      <x:c r="K20" s="24" t="n">
        <x:f>IF('Setup'!$B$22&gt;0,"",MIN(F20,J20))</x:f>
        <x:v>5852</x:v>
      </x:c>
      <x:c r="L20" s="24" t="n">
        <x:f>IF('Setup'!$B$22&gt;0,"",MAX(0,F20-K20))</x:f>
        <x:v>26308</x:v>
      </x:c>
      <x:c r="M20" s="23" t="n">
        <x:f>IF('Setup'!$B$22&gt;0,"",IF(J20=0,0,K20/J20))</x:f>
        <x:v>1</x:v>
      </x:c>
      <x:c r="N20" s="25" t="n">
        <x:f>IF('Setup'!$B$22&gt;0,"",SUM('Capacity'!Z84:Z86)*C20)</x:f>
        <x:v>10704.48</x:v>
      </x:c>
      <x:c r="O20" s="25" t="n">
        <x:f>IF('Setup'!$B$22&gt;0,"",SUM('Capacity'!Q84:Q86)*C20)</x:f>
        <x:v>1879.1999999999998</x:v>
      </x:c>
      <x:c r="P20" s="1" t="str">
        <x:f>IF('Setup'!$B$22&gt;0,"",IF(C20=0,"Closed",INDEX('Processes'!$A$6:$A$8,MATCH(J20,G20:I20,0))))</x:f>
        <x:v>Ship</x:v>
      </x:c>
      <x:c r="Q20" s="1" t="n">
        <x:f>IF('Setup'!$B$22&gt;0,"",IF(C20=0,0,MAX(0,ROUNDUP(F20/'Capacity'!X84-'Capacity'!Y84,0)-'Capacity'!G84)))</x:f>
        <x:v>101</x:v>
      </x:c>
      <x:c r="R20" s="1" t="n">
        <x:f>IF('Setup'!$B$22&gt;0,"",IF(C20=0,0,MAX(0,ROUNDUP(F20/'Capacity'!X85-'Capacity'!Y85,0)-'Capacity'!G85)))</x:f>
        <x:v>86</x:v>
      </x:c>
      <x:c r="S20" s="1" t="n">
        <x:f>IF('Setup'!$B$22&gt;0,"",IF(C20=0,0,MAX(0,ROUNDUP(F20/'Capacity'!X86-'Capacity'!Y86,0)-'Capacity'!G86)))</x:f>
        <x:v>52</x:v>
      </x:c>
      <x:c r="T20" s="1" t="str">
        <x:f>IF('Setup'!$B$22&gt;0,"",IF(C20=0,IF(L20&gt;'Setup'!$B$7,"Backlog on closed day","Closed"),IF(OR(V20&gt;0,W20&gt;0),"Resolve staffing limits",IF(U20&gt;0,"Resolve physical limit",IF(L20&gt;'Setup'!$B$7,"Close labor capacity gap",IF(L20&gt;0,"Backlog below threshold","Within daily capacity"))))))</x:f>
        <x:v>Resolve physical limit</x:v>
      </x:c>
      <x:c r="U20" s="1" t="n">
        <x:f>IF('Setup'!$B$22&gt;0,"",IF(C20=0,0,MAX(0,F20-INT(MIN('Capacity'!M84:M86)))))</x:f>
        <x:v>25360</x:v>
      </x:c>
      <x:c r="V20" s="1" t="n">
        <x:f>IF('Setup'!$B$22&gt;0,"",SUM('Capacity'!T84:T86)*C20)</x:f>
        <x:v>0</x:v>
      </x:c>
      <x:c r="W20" s="1" t="n">
        <x:f>IF('Setup'!$B$22&gt;0,"",SUM('Capacity'!W84:W86)*C20)</x:f>
        <x:v>0</x:v>
      </x:c>
    </x:row>
    <x:row r="21" ht="23" customHeight="1">
      <x:c r="A21" s="20" t="n">
        <x:f>IF('Setup'!$B$22&gt;0,"",'Demand'!A21)</x:f>
        <x:v>46315</x:v>
      </x:c>
      <x:c r="B21" s="1" t="n">
        <x:f>IF('Setup'!$B$22&gt;0,"",'Demand'!B21)</x:f>
        <x:v>3</x:v>
      </x:c>
      <x:c r="C21" s="1" t="n">
        <x:f>IF('Setup'!$B$22&gt;0,"",'Demand'!C21)</x:f>
        <x:v>1</x:v>
      </x:c>
      <x:c r="D21" s="24" t="n">
        <x:f>IF('Setup'!$B$22&gt;0,"",ROUND('Demand'!D21*'Setup'!B19,0))</x:f>
        <x:v>8800</x:v>
      </x:c>
      <x:c r="E21" s="24" t="n">
        <x:f>IF('Setup'!$B$22&gt;0,"",L20)</x:f>
        <x:v>26308</x:v>
      </x:c>
      <x:c r="F21" s="24" t="n">
        <x:f>IF('Setup'!$B$22&gt;0,"",D21+E21)</x:f>
        <x:v>35108</x:v>
      </x:c>
      <x:c r="G21" s="24" t="n">
        <x:f>IF('Setup'!$B$22&gt;0,"",'Capacity'!N84*C21)</x:f>
        <x:v>6616</x:v>
      </x:c>
      <x:c r="H21" s="24" t="n">
        <x:f>IF('Setup'!$B$22&gt;0,"",'Capacity'!N85*C21)</x:f>
        <x:v>6107</x:v>
      </x:c>
      <x:c r="I21" s="24" t="n">
        <x:f>IF('Setup'!$B$22&gt;0,"",'Capacity'!N86*C21)</x:f>
        <x:v>5852</x:v>
      </x:c>
      <x:c r="J21" s="24" t="n">
        <x:f>IF('Setup'!$B$22&gt;0,"",MIN(G21:I21))</x:f>
        <x:v>5852</x:v>
      </x:c>
      <x:c r="K21" s="24" t="n">
        <x:f>IF('Setup'!$B$22&gt;0,"",MIN(F21,J21))</x:f>
        <x:v>5852</x:v>
      </x:c>
      <x:c r="L21" s="24" t="n">
        <x:f>IF('Setup'!$B$22&gt;0,"",MAX(0,F21-K21))</x:f>
        <x:v>29256</x:v>
      </x:c>
      <x:c r="M21" s="23" t="n">
        <x:f>IF('Setup'!$B$22&gt;0,"",IF(J21=0,0,K21/J21))</x:f>
        <x:v>1</x:v>
      </x:c>
      <x:c r="N21" s="25" t="n">
        <x:f>IF('Setup'!$B$22&gt;0,"",SUM('Capacity'!Z84:Z86)*C21)</x:f>
        <x:v>10704.48</x:v>
      </x:c>
      <x:c r="O21" s="25" t="n">
        <x:f>IF('Setup'!$B$22&gt;0,"",SUM('Capacity'!Q84:Q86)*C21)</x:f>
        <x:v>1879.1999999999998</x:v>
      </x:c>
      <x:c r="P21" s="1" t="str">
        <x:f>IF('Setup'!$B$22&gt;0,"",IF(C21=0,"Closed",INDEX('Processes'!$A$6:$A$8,MATCH(J21,G21:I21,0))))</x:f>
        <x:v>Ship</x:v>
      </x:c>
      <x:c r="Q21" s="1" t="n">
        <x:f>IF('Setup'!$B$22&gt;0,"",IF(C21=0,0,MAX(0,ROUNDUP(F21/'Capacity'!X84-'Capacity'!Y84,0)-'Capacity'!G84)))</x:f>
        <x:v>112</x:v>
      </x:c>
      <x:c r="R21" s="1" t="n">
        <x:f>IF('Setup'!$B$22&gt;0,"",IF(C21=0,0,MAX(0,ROUNDUP(F21/'Capacity'!X85-'Capacity'!Y85,0)-'Capacity'!G85)))</x:f>
        <x:v>95</x:v>
      </x:c>
      <x:c r="S21" s="1" t="n">
        <x:f>IF('Setup'!$B$22&gt;0,"",IF(C21=0,0,MAX(0,ROUNDUP(F21/'Capacity'!X86-'Capacity'!Y86,0)-'Capacity'!G86)))</x:f>
        <x:v>58</x:v>
      </x:c>
      <x:c r="T21" s="1" t="str">
        <x:f>IF('Setup'!$B$22&gt;0,"",IF(C21=0,IF(L21&gt;'Setup'!$B$7,"Backlog on closed day","Closed"),IF(OR(V21&gt;0,W21&gt;0),"Resolve staffing limits",IF(U21&gt;0,"Resolve physical limit",IF(L21&gt;'Setup'!$B$7,"Close labor capacity gap",IF(L21&gt;0,"Backlog below threshold","Within daily capacity"))))))</x:f>
        <x:v>Resolve physical limit</x:v>
      </x:c>
      <x:c r="U21" s="1" t="n">
        <x:f>IF('Setup'!$B$22&gt;0,"",IF(C21=0,0,MAX(0,F21-INT(MIN('Capacity'!M84:M86)))))</x:f>
        <x:v>28308</x:v>
      </x:c>
      <x:c r="V21" s="1" t="n">
        <x:f>IF('Setup'!$B$22&gt;0,"",SUM('Capacity'!T84:T86)*C21)</x:f>
        <x:v>0</x:v>
      </x:c>
      <x:c r="W21" s="1" t="n">
        <x:f>IF('Setup'!$B$22&gt;0,"",SUM('Capacity'!W84:W86)*C21)</x:f>
        <x:v>0</x:v>
      </x:c>
    </x:row>
    <x:row r="22" ht="23" customHeight="1">
      <x:c r="A22" s="20" t="n">
        <x:f>IF('Setup'!$B$22&gt;0,"",'Demand'!A22)</x:f>
        <x:v>46316</x:v>
      </x:c>
      <x:c r="B22" s="1" t="n">
        <x:f>IF('Setup'!$B$22&gt;0,"",'Demand'!B22)</x:f>
        <x:v>3</x:v>
      </x:c>
      <x:c r="C22" s="1" t="n">
        <x:f>IF('Setup'!$B$22&gt;0,"",'Demand'!C22)</x:f>
        <x:v>1</x:v>
      </x:c>
      <x:c r="D22" s="24" t="n">
        <x:f>IF('Setup'!$B$22&gt;0,"",ROUND('Demand'!D22*'Setup'!B19,0))</x:f>
        <x:v>8800</x:v>
      </x:c>
      <x:c r="E22" s="24" t="n">
        <x:f>IF('Setup'!$B$22&gt;0,"",L21)</x:f>
        <x:v>29256</x:v>
      </x:c>
      <x:c r="F22" s="24" t="n">
        <x:f>IF('Setup'!$B$22&gt;0,"",D22+E22)</x:f>
        <x:v>38056</x:v>
      </x:c>
      <x:c r="G22" s="24" t="n">
        <x:f>IF('Setup'!$B$22&gt;0,"",'Capacity'!N84*C22)</x:f>
        <x:v>6616</x:v>
      </x:c>
      <x:c r="H22" s="24" t="n">
        <x:f>IF('Setup'!$B$22&gt;0,"",'Capacity'!N85*C22)</x:f>
        <x:v>6107</x:v>
      </x:c>
      <x:c r="I22" s="24" t="n">
        <x:f>IF('Setup'!$B$22&gt;0,"",'Capacity'!N86*C22)</x:f>
        <x:v>5852</x:v>
      </x:c>
      <x:c r="J22" s="24" t="n">
        <x:f>IF('Setup'!$B$22&gt;0,"",MIN(G22:I22))</x:f>
        <x:v>5852</x:v>
      </x:c>
      <x:c r="K22" s="24" t="n">
        <x:f>IF('Setup'!$B$22&gt;0,"",MIN(F22,J22))</x:f>
        <x:v>5852</x:v>
      </x:c>
      <x:c r="L22" s="24" t="n">
        <x:f>IF('Setup'!$B$22&gt;0,"",MAX(0,F22-K22))</x:f>
        <x:v>32204</x:v>
      </x:c>
      <x:c r="M22" s="23" t="n">
        <x:f>IF('Setup'!$B$22&gt;0,"",IF(J22=0,0,K22/J22))</x:f>
        <x:v>1</x:v>
      </x:c>
      <x:c r="N22" s="25" t="n">
        <x:f>IF('Setup'!$B$22&gt;0,"",SUM('Capacity'!Z84:Z86)*C22)</x:f>
        <x:v>10704.48</x:v>
      </x:c>
      <x:c r="O22" s="25" t="n">
        <x:f>IF('Setup'!$B$22&gt;0,"",SUM('Capacity'!Q84:Q86)*C22)</x:f>
        <x:v>1879.1999999999998</x:v>
      </x:c>
      <x:c r="P22" s="1" t="str">
        <x:f>IF('Setup'!$B$22&gt;0,"",IF(C22=0,"Closed",INDEX('Processes'!$A$6:$A$8,MATCH(J22,G22:I22,0))))</x:f>
        <x:v>Ship</x:v>
      </x:c>
      <x:c r="Q22" s="1" t="n">
        <x:f>IF('Setup'!$B$22&gt;0,"",IF(C22=0,0,MAX(0,ROUNDUP(F22/'Capacity'!X84-'Capacity'!Y84,0)-'Capacity'!G84)))</x:f>
        <x:v>124</x:v>
      </x:c>
      <x:c r="R22" s="1" t="n">
        <x:f>IF('Setup'!$B$22&gt;0,"",IF(C22=0,0,MAX(0,ROUNDUP(F22/'Capacity'!X85-'Capacity'!Y85,0)-'Capacity'!G85)))</x:f>
        <x:v>105</x:v>
      </x:c>
      <x:c r="S22" s="1" t="n">
        <x:f>IF('Setup'!$B$22&gt;0,"",IF(C22=0,0,MAX(0,ROUNDUP(F22/'Capacity'!X86-'Capacity'!Y86,0)-'Capacity'!G86)))</x:f>
        <x:v>64</x:v>
      </x:c>
      <x:c r="T22" s="1" t="str">
        <x:f>IF('Setup'!$B$22&gt;0,"",IF(C22=0,IF(L22&gt;'Setup'!$B$7,"Backlog on closed day","Closed"),IF(OR(V22&gt;0,W22&gt;0),"Resolve staffing limits",IF(U22&gt;0,"Resolve physical limit",IF(L22&gt;'Setup'!$B$7,"Close labor capacity gap",IF(L22&gt;0,"Backlog below threshold","Within daily capacity"))))))</x:f>
        <x:v>Resolve physical limit</x:v>
      </x:c>
      <x:c r="U22" s="1" t="n">
        <x:f>IF('Setup'!$B$22&gt;0,"",IF(C22=0,0,MAX(0,F22-INT(MIN('Capacity'!M84:M86)))))</x:f>
        <x:v>31256</x:v>
      </x:c>
      <x:c r="V22" s="1" t="n">
        <x:f>IF('Setup'!$B$22&gt;0,"",SUM('Capacity'!T84:T86)*C22)</x:f>
        <x:v>0</x:v>
      </x:c>
      <x:c r="W22" s="1" t="n">
        <x:f>IF('Setup'!$B$22&gt;0,"",SUM('Capacity'!W84:W86)*C22)</x:f>
        <x:v>0</x:v>
      </x:c>
    </x:row>
    <x:row r="23" ht="23" customHeight="1">
      <x:c r="A23" s="20" t="n">
        <x:f>IF('Setup'!$B$22&gt;0,"",'Demand'!A23)</x:f>
        <x:v>46317</x:v>
      </x:c>
      <x:c r="B23" s="1" t="n">
        <x:f>IF('Setup'!$B$22&gt;0,"",'Demand'!B23)</x:f>
        <x:v>3</x:v>
      </x:c>
      <x:c r="C23" s="1" t="n">
        <x:f>IF('Setup'!$B$22&gt;0,"",'Demand'!C23)</x:f>
        <x:v>1</x:v>
      </x:c>
      <x:c r="D23" s="24" t="n">
        <x:f>IF('Setup'!$B$22&gt;0,"",ROUND('Demand'!D23*'Setup'!B19,0))</x:f>
        <x:v>8800</x:v>
      </x:c>
      <x:c r="E23" s="24" t="n">
        <x:f>IF('Setup'!$B$22&gt;0,"",L22)</x:f>
        <x:v>32204</x:v>
      </x:c>
      <x:c r="F23" s="24" t="n">
        <x:f>IF('Setup'!$B$22&gt;0,"",D23+E23)</x:f>
        <x:v>41004</x:v>
      </x:c>
      <x:c r="G23" s="24" t="n">
        <x:f>IF('Setup'!$B$22&gt;0,"",'Capacity'!N84*C23)</x:f>
        <x:v>6616</x:v>
      </x:c>
      <x:c r="H23" s="24" t="n">
        <x:f>IF('Setup'!$B$22&gt;0,"",'Capacity'!N85*C23)</x:f>
        <x:v>6107</x:v>
      </x:c>
      <x:c r="I23" s="24" t="n">
        <x:f>IF('Setup'!$B$22&gt;0,"",'Capacity'!N86*C23)</x:f>
        <x:v>5852</x:v>
      </x:c>
      <x:c r="J23" s="24" t="n">
        <x:f>IF('Setup'!$B$22&gt;0,"",MIN(G23:I23))</x:f>
        <x:v>5852</x:v>
      </x:c>
      <x:c r="K23" s="24" t="n">
        <x:f>IF('Setup'!$B$22&gt;0,"",MIN(F23,J23))</x:f>
        <x:v>5852</x:v>
      </x:c>
      <x:c r="L23" s="24" t="n">
        <x:f>IF('Setup'!$B$22&gt;0,"",MAX(0,F23-K23))</x:f>
        <x:v>35152</x:v>
      </x:c>
      <x:c r="M23" s="23" t="n">
        <x:f>IF('Setup'!$B$22&gt;0,"",IF(J23=0,0,K23/J23))</x:f>
        <x:v>1</x:v>
      </x:c>
      <x:c r="N23" s="25" t="n">
        <x:f>IF('Setup'!$B$22&gt;0,"",SUM('Capacity'!Z84:Z86)*C23)</x:f>
        <x:v>10704.48</x:v>
      </x:c>
      <x:c r="O23" s="25" t="n">
        <x:f>IF('Setup'!$B$22&gt;0,"",SUM('Capacity'!Q84:Q86)*C23)</x:f>
        <x:v>1879.1999999999998</x:v>
      </x:c>
      <x:c r="P23" s="1" t="str">
        <x:f>IF('Setup'!$B$22&gt;0,"",IF(C23=0,"Closed",INDEX('Processes'!$A$6:$A$8,MATCH(J23,G23:I23,0))))</x:f>
        <x:v>Ship</x:v>
      </x:c>
      <x:c r="Q23" s="1" t="n">
        <x:f>IF('Setup'!$B$22&gt;0,"",IF(C23=0,0,MAX(0,ROUNDUP(F23/'Capacity'!X84-'Capacity'!Y84,0)-'Capacity'!G84)))</x:f>
        <x:v>136</x:v>
      </x:c>
      <x:c r="R23" s="1" t="n">
        <x:f>IF('Setup'!$B$22&gt;0,"",IF(C23=0,0,MAX(0,ROUNDUP(F23/'Capacity'!X85-'Capacity'!Y85,0)-'Capacity'!G85)))</x:f>
        <x:v>115</x:v>
      </x:c>
      <x:c r="S23" s="1" t="n">
        <x:f>IF('Setup'!$B$22&gt;0,"",IF(C23=0,0,MAX(0,ROUNDUP(F23/'Capacity'!X86-'Capacity'!Y86,0)-'Capacity'!G86)))</x:f>
        <x:v>70</x:v>
      </x:c>
      <x:c r="T23" s="1" t="str">
        <x:f>IF('Setup'!$B$22&gt;0,"",IF(C23=0,IF(L23&gt;'Setup'!$B$7,"Backlog on closed day","Closed"),IF(OR(V23&gt;0,W23&gt;0),"Resolve staffing limits",IF(U23&gt;0,"Resolve physical limit",IF(L23&gt;'Setup'!$B$7,"Close labor capacity gap",IF(L23&gt;0,"Backlog below threshold","Within daily capacity"))))))</x:f>
        <x:v>Resolve physical limit</x:v>
      </x:c>
      <x:c r="U23" s="1" t="n">
        <x:f>IF('Setup'!$B$22&gt;0,"",IF(C23=0,0,MAX(0,F23-INT(MIN('Capacity'!M84:M86)))))</x:f>
        <x:v>34204</x:v>
      </x:c>
      <x:c r="V23" s="1" t="n">
        <x:f>IF('Setup'!$B$22&gt;0,"",SUM('Capacity'!T84:T86)*C23)</x:f>
        <x:v>0</x:v>
      </x:c>
      <x:c r="W23" s="1" t="n">
        <x:f>IF('Setup'!$B$22&gt;0,"",SUM('Capacity'!W84:W86)*C23)</x:f>
        <x:v>0</x:v>
      </x:c>
    </x:row>
    <x:row r="24" ht="23" customHeight="1">
      <x:c r="A24" s="20" t="n">
        <x:f>IF('Setup'!$B$22&gt;0,"",'Demand'!A24)</x:f>
        <x:v>46318</x:v>
      </x:c>
      <x:c r="B24" s="1" t="n">
        <x:f>IF('Setup'!$B$22&gt;0,"",'Demand'!B24)</x:f>
        <x:v>3</x:v>
      </x:c>
      <x:c r="C24" s="1" t="n">
        <x:f>IF('Setup'!$B$22&gt;0,"",'Demand'!C24)</x:f>
        <x:v>1</x:v>
      </x:c>
      <x:c r="D24" s="24" t="n">
        <x:f>IF('Setup'!$B$22&gt;0,"",ROUND('Demand'!D24*'Setup'!B19,0))</x:f>
        <x:v>8800</x:v>
      </x:c>
      <x:c r="E24" s="24" t="n">
        <x:f>IF('Setup'!$B$22&gt;0,"",L23)</x:f>
        <x:v>35152</x:v>
      </x:c>
      <x:c r="F24" s="24" t="n">
        <x:f>IF('Setup'!$B$22&gt;0,"",D24+E24)</x:f>
        <x:v>43952</x:v>
      </x:c>
      <x:c r="G24" s="24" t="n">
        <x:f>IF('Setup'!$B$22&gt;0,"",'Capacity'!N84*C24)</x:f>
        <x:v>6616</x:v>
      </x:c>
      <x:c r="H24" s="24" t="n">
        <x:f>IF('Setup'!$B$22&gt;0,"",'Capacity'!N85*C24)</x:f>
        <x:v>6107</x:v>
      </x:c>
      <x:c r="I24" s="24" t="n">
        <x:f>IF('Setup'!$B$22&gt;0,"",'Capacity'!N86*C24)</x:f>
        <x:v>5852</x:v>
      </x:c>
      <x:c r="J24" s="24" t="n">
        <x:f>IF('Setup'!$B$22&gt;0,"",MIN(G24:I24))</x:f>
        <x:v>5852</x:v>
      </x:c>
      <x:c r="K24" s="24" t="n">
        <x:f>IF('Setup'!$B$22&gt;0,"",MIN(F24,J24))</x:f>
        <x:v>5852</x:v>
      </x:c>
      <x:c r="L24" s="24" t="n">
        <x:f>IF('Setup'!$B$22&gt;0,"",MAX(0,F24-K24))</x:f>
        <x:v>38100</x:v>
      </x:c>
      <x:c r="M24" s="23" t="n">
        <x:f>IF('Setup'!$B$22&gt;0,"",IF(J24=0,0,K24/J24))</x:f>
        <x:v>1</x:v>
      </x:c>
      <x:c r="N24" s="25" t="n">
        <x:f>IF('Setup'!$B$22&gt;0,"",SUM('Capacity'!Z84:Z86)*C24)</x:f>
        <x:v>10704.48</x:v>
      </x:c>
      <x:c r="O24" s="25" t="n">
        <x:f>IF('Setup'!$B$22&gt;0,"",SUM('Capacity'!Q84:Q86)*C24)</x:f>
        <x:v>1879.1999999999998</x:v>
      </x:c>
      <x:c r="P24" s="1" t="str">
        <x:f>IF('Setup'!$B$22&gt;0,"",IF(C24=0,"Closed",INDEX('Processes'!$A$6:$A$8,MATCH(J24,G24:I24,0))))</x:f>
        <x:v>Ship</x:v>
      </x:c>
      <x:c r="Q24" s="1" t="n">
        <x:f>IF('Setup'!$B$22&gt;0,"",IF(C24=0,0,MAX(0,ROUNDUP(F24/'Capacity'!X84-'Capacity'!Y84,0)-'Capacity'!G84)))</x:f>
        <x:v>147</x:v>
      </x:c>
      <x:c r="R24" s="1" t="n">
        <x:f>IF('Setup'!$B$22&gt;0,"",IF(C24=0,0,MAX(0,ROUNDUP(F24/'Capacity'!X85-'Capacity'!Y85,0)-'Capacity'!G85)))</x:f>
        <x:v>124</x:v>
      </x:c>
      <x:c r="S24" s="1" t="n">
        <x:f>IF('Setup'!$B$22&gt;0,"",IF(C24=0,0,MAX(0,ROUNDUP(F24/'Capacity'!X86-'Capacity'!Y86,0)-'Capacity'!G86)))</x:f>
        <x:v>75</x:v>
      </x:c>
      <x:c r="T24" s="1" t="str">
        <x:f>IF('Setup'!$B$22&gt;0,"",IF(C24=0,IF(L24&gt;'Setup'!$B$7,"Backlog on closed day","Closed"),IF(OR(V24&gt;0,W24&gt;0),"Resolve staffing limits",IF(U24&gt;0,"Resolve physical limit",IF(L24&gt;'Setup'!$B$7,"Close labor capacity gap",IF(L24&gt;0,"Backlog below threshold","Within daily capacity"))))))</x:f>
        <x:v>Resolve physical limit</x:v>
      </x:c>
      <x:c r="U24" s="1" t="n">
        <x:f>IF('Setup'!$B$22&gt;0,"",IF(C24=0,0,MAX(0,F24-INT(MIN('Capacity'!M84:M86)))))</x:f>
        <x:v>37152</x:v>
      </x:c>
      <x:c r="V24" s="1" t="n">
        <x:f>IF('Setup'!$B$22&gt;0,"",SUM('Capacity'!T84:T86)*C24)</x:f>
        <x:v>0</x:v>
      </x:c>
      <x:c r="W24" s="1" t="n">
        <x:f>IF('Setup'!$B$22&gt;0,"",SUM('Capacity'!W84:W86)*C24)</x:f>
        <x:v>0</x:v>
      </x:c>
    </x:row>
    <x:row r="25" ht="23" customHeight="1">
      <x:c r="A25" s="20" t="n">
        <x:f>IF('Setup'!$B$22&gt;0,"",'Demand'!A25)</x:f>
        <x:v>46319</x:v>
      </x:c>
      <x:c r="B25" s="1" t="n">
        <x:f>IF('Setup'!$B$22&gt;0,"",'Demand'!B25)</x:f>
        <x:v>3</x:v>
      </x:c>
      <x:c r="C25" s="1" t="n">
        <x:f>IF('Setup'!$B$22&gt;0,"",'Demand'!C25)</x:f>
        <x:v>0</x:v>
      </x:c>
      <x:c r="D25" s="24" t="n">
        <x:f>IF('Setup'!$B$22&gt;0,"",ROUND('Demand'!D25*'Setup'!B19,0))</x:f>
        <x:v>0</x:v>
      </x:c>
      <x:c r="E25" s="24" t="n">
        <x:f>IF('Setup'!$B$22&gt;0,"",L24)</x:f>
        <x:v>38100</x:v>
      </x:c>
      <x:c r="F25" s="24" t="n">
        <x:f>IF('Setup'!$B$22&gt;0,"",D25+E25)</x:f>
        <x:v>38100</x:v>
      </x:c>
      <x:c r="G25" s="24" t="n">
        <x:f>IF('Setup'!$B$22&gt;0,"",'Capacity'!N84*C25)</x:f>
        <x:v>0</x:v>
      </x:c>
      <x:c r="H25" s="24" t="n">
        <x:f>IF('Setup'!$B$22&gt;0,"",'Capacity'!N85*C25)</x:f>
        <x:v>0</x:v>
      </x:c>
      <x:c r="I25" s="24" t="n">
        <x:f>IF('Setup'!$B$22&gt;0,"",'Capacity'!N86*C25)</x:f>
        <x:v>0</x:v>
      </x:c>
      <x:c r="J25" s="24" t="n">
        <x:f>IF('Setup'!$B$22&gt;0,"",MIN(G25:I25))</x:f>
        <x:v>0</x:v>
      </x:c>
      <x:c r="K25" s="24" t="n">
        <x:f>IF('Setup'!$B$22&gt;0,"",MIN(F25,J25))</x:f>
        <x:v>0</x:v>
      </x:c>
      <x:c r="L25" s="24" t="n">
        <x:f>IF('Setup'!$B$22&gt;0,"",MAX(0,F25-K25))</x:f>
        <x:v>38100</x:v>
      </x:c>
      <x:c r="M25" s="23" t="n">
        <x:f>IF('Setup'!$B$22&gt;0,"",IF(J25=0,0,K25/J25))</x:f>
        <x:v>0</x:v>
      </x:c>
      <x:c r="N25" s="25" t="n">
        <x:f>IF('Setup'!$B$22&gt;0,"",SUM('Capacity'!Z84:Z86)*C25)</x:f>
        <x:v>0</x:v>
      </x:c>
      <x:c r="O25" s="25" t="n">
        <x:f>IF('Setup'!$B$22&gt;0,"",SUM('Capacity'!Q84:Q86)*C25)</x:f>
        <x:v>0</x:v>
      </x:c>
      <x:c r="P25" s="1" t="str">
        <x:f>IF('Setup'!$B$22&gt;0,"",IF(C25=0,"Closed",INDEX('Processes'!$A$6:$A$8,MATCH(J25,G25:I25,0))))</x:f>
        <x:v>Closed</x:v>
      </x:c>
      <x:c r="Q25" s="1" t="n">
        <x:f>IF('Setup'!$B$22&gt;0,"",IF(C25=0,0,MAX(0,ROUNDUP(F25/'Capacity'!X84-'Capacity'!Y84,0)-'Capacity'!G84)))</x:f>
        <x:v>0</x:v>
      </x:c>
      <x:c r="R25" s="1" t="n">
        <x:f>IF('Setup'!$B$22&gt;0,"",IF(C25=0,0,MAX(0,ROUNDUP(F25/'Capacity'!X85-'Capacity'!Y85,0)-'Capacity'!G85)))</x:f>
        <x:v>0</x:v>
      </x:c>
      <x:c r="S25" s="1" t="n">
        <x:f>IF('Setup'!$B$22&gt;0,"",IF(C25=0,0,MAX(0,ROUNDUP(F25/'Capacity'!X86-'Capacity'!Y86,0)-'Capacity'!G86)))</x:f>
        <x:v>0</x:v>
      </x:c>
      <x:c r="T25" s="1" t="str">
        <x:f>IF('Setup'!$B$22&gt;0,"",IF(C25=0,IF(L25&gt;'Setup'!$B$7,"Backlog on closed day","Closed"),IF(OR(V25&gt;0,W25&gt;0),"Resolve staffing limits",IF(U25&gt;0,"Resolve physical limit",IF(L25&gt;'Setup'!$B$7,"Close labor capacity gap",IF(L25&gt;0,"Backlog below threshold","Within daily capacity"))))))</x:f>
        <x:v>Backlog on closed day</x:v>
      </x:c>
      <x:c r="U25" s="1" t="n">
        <x:f>IF('Setup'!$B$22&gt;0,"",IF(C25=0,0,MAX(0,F25-INT(MIN('Capacity'!M84:M86)))))</x:f>
        <x:v>0</x:v>
      </x:c>
      <x:c r="V25" s="1" t="n">
        <x:f>IF('Setup'!$B$22&gt;0,"",SUM('Capacity'!T84:T86)*C25)</x:f>
        <x:v>0</x:v>
      </x:c>
      <x:c r="W25" s="1" t="n">
        <x:f>IF('Setup'!$B$22&gt;0,"",SUM('Capacity'!W84:W86)*C25)</x:f>
        <x:v>0</x:v>
      </x:c>
    </x:row>
    <x:row r="26" ht="23" customHeight="1">
      <x:c r="A26" s="20" t="n">
        <x:f>IF('Setup'!$B$22&gt;0,"",'Demand'!A26)</x:f>
        <x:v>46320</x:v>
      </x:c>
      <x:c r="B26" s="1" t="n">
        <x:f>IF('Setup'!$B$22&gt;0,"",'Demand'!B26)</x:f>
        <x:v>3</x:v>
      </x:c>
      <x:c r="C26" s="1" t="n">
        <x:f>IF('Setup'!$B$22&gt;0,"",'Demand'!C26)</x:f>
        <x:v>0</x:v>
      </x:c>
      <x:c r="D26" s="24" t="n">
        <x:f>IF('Setup'!$B$22&gt;0,"",ROUND('Demand'!D26*'Setup'!B19,0))</x:f>
        <x:v>0</x:v>
      </x:c>
      <x:c r="E26" s="24" t="n">
        <x:f>IF('Setup'!$B$22&gt;0,"",L25)</x:f>
        <x:v>38100</x:v>
      </x:c>
      <x:c r="F26" s="24" t="n">
        <x:f>IF('Setup'!$B$22&gt;0,"",D26+E26)</x:f>
        <x:v>38100</x:v>
      </x:c>
      <x:c r="G26" s="24" t="n">
        <x:f>IF('Setup'!$B$22&gt;0,"",'Capacity'!N84*C26)</x:f>
        <x:v>0</x:v>
      </x:c>
      <x:c r="H26" s="24" t="n">
        <x:f>IF('Setup'!$B$22&gt;0,"",'Capacity'!N85*C26)</x:f>
        <x:v>0</x:v>
      </x:c>
      <x:c r="I26" s="24" t="n">
        <x:f>IF('Setup'!$B$22&gt;0,"",'Capacity'!N86*C26)</x:f>
        <x:v>0</x:v>
      </x:c>
      <x:c r="J26" s="24" t="n">
        <x:f>IF('Setup'!$B$22&gt;0,"",MIN(G26:I26))</x:f>
        <x:v>0</x:v>
      </x:c>
      <x:c r="K26" s="24" t="n">
        <x:f>IF('Setup'!$B$22&gt;0,"",MIN(F26,J26))</x:f>
        <x:v>0</x:v>
      </x:c>
      <x:c r="L26" s="24" t="n">
        <x:f>IF('Setup'!$B$22&gt;0,"",MAX(0,F26-K26))</x:f>
        <x:v>38100</x:v>
      </x:c>
      <x:c r="M26" s="23" t="n">
        <x:f>IF('Setup'!$B$22&gt;0,"",IF(J26=0,0,K26/J26))</x:f>
        <x:v>0</x:v>
      </x:c>
      <x:c r="N26" s="25" t="n">
        <x:f>IF('Setup'!$B$22&gt;0,"",SUM('Capacity'!Z84:Z86)*C26)</x:f>
        <x:v>0</x:v>
      </x:c>
      <x:c r="O26" s="25" t="n">
        <x:f>IF('Setup'!$B$22&gt;0,"",SUM('Capacity'!Q84:Q86)*C26)</x:f>
        <x:v>0</x:v>
      </x:c>
      <x:c r="P26" s="1" t="str">
        <x:f>IF('Setup'!$B$22&gt;0,"",IF(C26=0,"Closed",INDEX('Processes'!$A$6:$A$8,MATCH(J26,G26:I26,0))))</x:f>
        <x:v>Closed</x:v>
      </x:c>
      <x:c r="Q26" s="1" t="n">
        <x:f>IF('Setup'!$B$22&gt;0,"",IF(C26=0,0,MAX(0,ROUNDUP(F26/'Capacity'!X84-'Capacity'!Y84,0)-'Capacity'!G84)))</x:f>
        <x:v>0</x:v>
      </x:c>
      <x:c r="R26" s="1" t="n">
        <x:f>IF('Setup'!$B$22&gt;0,"",IF(C26=0,0,MAX(0,ROUNDUP(F26/'Capacity'!X85-'Capacity'!Y85,0)-'Capacity'!G85)))</x:f>
        <x:v>0</x:v>
      </x:c>
      <x:c r="S26" s="1" t="n">
        <x:f>IF('Setup'!$B$22&gt;0,"",IF(C26=0,0,MAX(0,ROUNDUP(F26/'Capacity'!X86-'Capacity'!Y86,0)-'Capacity'!G86)))</x:f>
        <x:v>0</x:v>
      </x:c>
      <x:c r="T26" s="1" t="str">
        <x:f>IF('Setup'!$B$22&gt;0,"",IF(C26=0,IF(L26&gt;'Setup'!$B$7,"Backlog on closed day","Closed"),IF(OR(V26&gt;0,W26&gt;0),"Resolve staffing limits",IF(U26&gt;0,"Resolve physical limit",IF(L26&gt;'Setup'!$B$7,"Close labor capacity gap",IF(L26&gt;0,"Backlog below threshold","Within daily capacity"))))))</x:f>
        <x:v>Backlog on closed day</x:v>
      </x:c>
      <x:c r="U26" s="1" t="n">
        <x:f>IF('Setup'!$B$22&gt;0,"",IF(C26=0,0,MAX(0,F26-INT(MIN('Capacity'!M84:M86)))))</x:f>
        <x:v>0</x:v>
      </x:c>
      <x:c r="V26" s="1" t="n">
        <x:f>IF('Setup'!$B$22&gt;0,"",SUM('Capacity'!T84:T86)*C26)</x:f>
        <x:v>0</x:v>
      </x:c>
      <x:c r="W26" s="1" t="n">
        <x:f>IF('Setup'!$B$22&gt;0,"",SUM('Capacity'!W84:W86)*C26)</x:f>
        <x:v>0</x:v>
      </x:c>
    </x:row>
    <x:row r="27" ht="23" customHeight="1">
      <x:c r="A27" s="20" t="n">
        <x:f>IF('Setup'!$B$22&gt;0,"",'Demand'!A27)</x:f>
        <x:v>46321</x:v>
      </x:c>
      <x:c r="B27" s="1" t="n">
        <x:f>IF('Setup'!$B$22&gt;0,"",'Demand'!B27)</x:f>
        <x:v>4</x:v>
      </x:c>
      <x:c r="C27" s="1" t="n">
        <x:f>IF('Setup'!$B$22&gt;0,"",'Demand'!C27)</x:f>
        <x:v>1</x:v>
      </x:c>
      <x:c r="D27" s="24" t="n">
        <x:f>IF('Setup'!$B$22&gt;0,"",ROUND('Demand'!D27*'Setup'!B19,0))</x:f>
        <x:v>9350</x:v>
      </x:c>
      <x:c r="E27" s="24" t="n">
        <x:f>IF('Setup'!$B$22&gt;0,"",L26)</x:f>
        <x:v>38100</x:v>
      </x:c>
      <x:c r="F27" s="24" t="n">
        <x:f>IF('Setup'!$B$22&gt;0,"",D27+E27)</x:f>
        <x:v>47450</x:v>
      </x:c>
      <x:c r="G27" s="24" t="n">
        <x:f>IF('Setup'!$B$22&gt;0,"",'Capacity'!N87*C27)</x:f>
        <x:v>6769</x:v>
      </x:c>
      <x:c r="H27" s="24" t="n">
        <x:f>IF('Setup'!$B$22&gt;0,"",'Capacity'!N88*C27)</x:f>
        <x:v>6290</x:v>
      </x:c>
      <x:c r="I27" s="24" t="n">
        <x:f>IF('Setup'!$B$22&gt;0,"",'Capacity'!N89*C27)</x:f>
        <x:v>6081</x:v>
      </x:c>
      <x:c r="J27" s="24" t="n">
        <x:f>IF('Setup'!$B$22&gt;0,"",MIN(G27:I27))</x:f>
        <x:v>6081</x:v>
      </x:c>
      <x:c r="K27" s="24" t="n">
        <x:f>IF('Setup'!$B$22&gt;0,"",MIN(F27,J27))</x:f>
        <x:v>6081</x:v>
      </x:c>
      <x:c r="L27" s="24" t="n">
        <x:f>IF('Setup'!$B$22&gt;0,"",MAX(0,F27-K27))</x:f>
        <x:v>41369</x:v>
      </x:c>
      <x:c r="M27" s="23" t="n">
        <x:f>IF('Setup'!$B$22&gt;0,"",IF(J27=0,0,K27/J27))</x:f>
        <x:v>1</x:v>
      </x:c>
      <x:c r="N27" s="25" t="n">
        <x:f>IF('Setup'!$B$22&gt;0,"",SUM('Capacity'!Z87:Z89)*C27)</x:f>
        <x:v>10704.48</x:v>
      </x:c>
      <x:c r="O27" s="25" t="n">
        <x:f>IF('Setup'!$B$22&gt;0,"",SUM('Capacity'!Q87:Q89)*C27)</x:f>
        <x:v>1879.1999999999998</x:v>
      </x:c>
      <x:c r="P27" s="1" t="str">
        <x:f>IF('Setup'!$B$22&gt;0,"",IF(C27=0,"Closed",INDEX('Processes'!$A$6:$A$8,MATCH(J27,G27:I27,0))))</x:f>
        <x:v>Ship</x:v>
      </x:c>
      <x:c r="Q27" s="1" t="n">
        <x:f>IF('Setup'!$B$22&gt;0,"",IF(C27=0,0,MAX(0,ROUNDUP(F27/'Capacity'!X87-'Capacity'!Y87,0)-'Capacity'!G87)))</x:f>
        <x:v>160</x:v>
      </x:c>
      <x:c r="R27" s="1" t="n">
        <x:f>IF('Setup'!$B$22&gt;0,"",IF(C27=0,0,MAX(0,ROUNDUP(F27/'Capacity'!X88-'Capacity'!Y88,0)-'Capacity'!G88)))</x:f>
        <x:v>135</x:v>
      </x:c>
      <x:c r="S27" s="1" t="n">
        <x:f>IF('Setup'!$B$22&gt;0,"",IF(C27=0,0,MAX(0,ROUNDUP(F27/'Capacity'!X89-'Capacity'!Y89,0)-'Capacity'!G89)))</x:f>
        <x:v>82</x:v>
      </x:c>
      <x:c r="T27" s="1" t="str">
        <x:f>IF('Setup'!$B$22&gt;0,"",IF(C27=0,IF(L27&gt;'Setup'!$B$7,"Backlog on closed day","Closed"),IF(OR(V27&gt;0,W27&gt;0),"Resolve staffing limits",IF(U27&gt;0,"Resolve physical limit",IF(L27&gt;'Setup'!$B$7,"Close labor capacity gap",IF(L27&gt;0,"Backlog below threshold","Within daily capacity"))))))</x:f>
        <x:v>Resolve physical limit</x:v>
      </x:c>
      <x:c r="U27" s="1" t="n">
        <x:f>IF('Setup'!$B$22&gt;0,"",IF(C27=0,0,MAX(0,F27-INT(MIN('Capacity'!M87:M89)))))</x:f>
        <x:v>40650</x:v>
      </x:c>
      <x:c r="V27" s="1" t="n">
        <x:f>IF('Setup'!$B$22&gt;0,"",SUM('Capacity'!T87:T89)*C27)</x:f>
        <x:v>0</x:v>
      </x:c>
      <x:c r="W27" s="1" t="n">
        <x:f>IF('Setup'!$B$22&gt;0,"",SUM('Capacity'!W87:W89)*C27)</x:f>
        <x:v>0</x:v>
      </x:c>
    </x:row>
    <x:row r="28" ht="23" customHeight="1">
      <x:c r="A28" s="20" t="n">
        <x:f>IF('Setup'!$B$22&gt;0,"",'Demand'!A28)</x:f>
        <x:v>46322</x:v>
      </x:c>
      <x:c r="B28" s="1" t="n">
        <x:f>IF('Setup'!$B$22&gt;0,"",'Demand'!B28)</x:f>
        <x:v>4</x:v>
      </x:c>
      <x:c r="C28" s="1" t="n">
        <x:f>IF('Setup'!$B$22&gt;0,"",'Demand'!C28)</x:f>
        <x:v>1</x:v>
      </x:c>
      <x:c r="D28" s="24" t="n">
        <x:f>IF('Setup'!$B$22&gt;0,"",ROUND('Demand'!D28*'Setup'!B19,0))</x:f>
        <x:v>9350</x:v>
      </x:c>
      <x:c r="E28" s="24" t="n">
        <x:f>IF('Setup'!$B$22&gt;0,"",L27)</x:f>
        <x:v>41369</x:v>
      </x:c>
      <x:c r="F28" s="24" t="n">
        <x:f>IF('Setup'!$B$22&gt;0,"",D28+E28)</x:f>
        <x:v>50719</x:v>
      </x:c>
      <x:c r="G28" s="24" t="n">
        <x:f>IF('Setup'!$B$22&gt;0,"",'Capacity'!N87*C28)</x:f>
        <x:v>6769</x:v>
      </x:c>
      <x:c r="H28" s="24" t="n">
        <x:f>IF('Setup'!$B$22&gt;0,"",'Capacity'!N88*C28)</x:f>
        <x:v>6290</x:v>
      </x:c>
      <x:c r="I28" s="24" t="n">
        <x:f>IF('Setup'!$B$22&gt;0,"",'Capacity'!N89*C28)</x:f>
        <x:v>6081</x:v>
      </x:c>
      <x:c r="J28" s="24" t="n">
        <x:f>IF('Setup'!$B$22&gt;0,"",MIN(G28:I28))</x:f>
        <x:v>6081</x:v>
      </x:c>
      <x:c r="K28" s="24" t="n">
        <x:f>IF('Setup'!$B$22&gt;0,"",MIN(F28,J28))</x:f>
        <x:v>6081</x:v>
      </x:c>
      <x:c r="L28" s="24" t="n">
        <x:f>IF('Setup'!$B$22&gt;0,"",MAX(0,F28-K28))</x:f>
        <x:v>44638</x:v>
      </x:c>
      <x:c r="M28" s="23" t="n">
        <x:f>IF('Setup'!$B$22&gt;0,"",IF(J28=0,0,K28/J28))</x:f>
        <x:v>1</x:v>
      </x:c>
      <x:c r="N28" s="25" t="n">
        <x:f>IF('Setup'!$B$22&gt;0,"",SUM('Capacity'!Z87:Z89)*C28)</x:f>
        <x:v>10704.48</x:v>
      </x:c>
      <x:c r="O28" s="25" t="n">
        <x:f>IF('Setup'!$B$22&gt;0,"",SUM('Capacity'!Q87:Q89)*C28)</x:f>
        <x:v>1879.1999999999998</x:v>
      </x:c>
      <x:c r="P28" s="1" t="str">
        <x:f>IF('Setup'!$B$22&gt;0,"",IF(C28=0,"Closed",INDEX('Processes'!$A$6:$A$8,MATCH(J28,G28:I28,0))))</x:f>
        <x:v>Ship</x:v>
      </x:c>
      <x:c r="Q28" s="1" t="n">
        <x:f>IF('Setup'!$B$22&gt;0,"",IF(C28=0,0,MAX(0,ROUNDUP(F28/'Capacity'!X87-'Capacity'!Y87,0)-'Capacity'!G87)))</x:f>
        <x:v>173</x:v>
      </x:c>
      <x:c r="R28" s="1" t="n">
        <x:f>IF('Setup'!$B$22&gt;0,"",IF(C28=0,0,MAX(0,ROUNDUP(F28/'Capacity'!X88-'Capacity'!Y88,0)-'Capacity'!G88)))</x:f>
        <x:v>146</x:v>
      </x:c>
      <x:c r="S28" s="1" t="n">
        <x:f>IF('Setup'!$B$22&gt;0,"",IF(C28=0,0,MAX(0,ROUNDUP(F28/'Capacity'!X89-'Capacity'!Y89,0)-'Capacity'!G89)))</x:f>
        <x:v>88</x:v>
      </x:c>
      <x:c r="T28" s="1" t="str">
        <x:f>IF('Setup'!$B$22&gt;0,"",IF(C28=0,IF(L28&gt;'Setup'!$B$7,"Backlog on closed day","Closed"),IF(OR(V28&gt;0,W28&gt;0),"Resolve staffing limits",IF(U28&gt;0,"Resolve physical limit",IF(L28&gt;'Setup'!$B$7,"Close labor capacity gap",IF(L28&gt;0,"Backlog below threshold","Within daily capacity"))))))</x:f>
        <x:v>Resolve physical limit</x:v>
      </x:c>
      <x:c r="U28" s="1" t="n">
        <x:f>IF('Setup'!$B$22&gt;0,"",IF(C28=0,0,MAX(0,F28-INT(MIN('Capacity'!M87:M89)))))</x:f>
        <x:v>43919</x:v>
      </x:c>
      <x:c r="V28" s="1" t="n">
        <x:f>IF('Setup'!$B$22&gt;0,"",SUM('Capacity'!T87:T89)*C28)</x:f>
        <x:v>0</x:v>
      </x:c>
      <x:c r="W28" s="1" t="n">
        <x:f>IF('Setup'!$B$22&gt;0,"",SUM('Capacity'!W87:W89)*C28)</x:f>
        <x:v>0</x:v>
      </x:c>
    </x:row>
    <x:row r="29" ht="23" customHeight="1">
      <x:c r="A29" s="20" t="n">
        <x:f>IF('Setup'!$B$22&gt;0,"",'Demand'!A29)</x:f>
        <x:v>46323</x:v>
      </x:c>
      <x:c r="B29" s="1" t="n">
        <x:f>IF('Setup'!$B$22&gt;0,"",'Demand'!B29)</x:f>
        <x:v>4</x:v>
      </x:c>
      <x:c r="C29" s="1" t="n">
        <x:f>IF('Setup'!$B$22&gt;0,"",'Demand'!C29)</x:f>
        <x:v>1</x:v>
      </x:c>
      <x:c r="D29" s="24" t="n">
        <x:f>IF('Setup'!$B$22&gt;0,"",ROUND('Demand'!D29*'Setup'!B19,0))</x:f>
        <x:v>9350</x:v>
      </x:c>
      <x:c r="E29" s="24" t="n">
        <x:f>IF('Setup'!$B$22&gt;0,"",L28)</x:f>
        <x:v>44638</x:v>
      </x:c>
      <x:c r="F29" s="24" t="n">
        <x:f>IF('Setup'!$B$22&gt;0,"",D29+E29)</x:f>
        <x:v>53988</x:v>
      </x:c>
      <x:c r="G29" s="24" t="n">
        <x:f>IF('Setup'!$B$22&gt;0,"",'Capacity'!N87*C29)</x:f>
        <x:v>6769</x:v>
      </x:c>
      <x:c r="H29" s="24" t="n">
        <x:f>IF('Setup'!$B$22&gt;0,"",'Capacity'!N88*C29)</x:f>
        <x:v>6290</x:v>
      </x:c>
      <x:c r="I29" s="24" t="n">
        <x:f>IF('Setup'!$B$22&gt;0,"",'Capacity'!N89*C29)</x:f>
        <x:v>6081</x:v>
      </x:c>
      <x:c r="J29" s="24" t="n">
        <x:f>IF('Setup'!$B$22&gt;0,"",MIN(G29:I29))</x:f>
        <x:v>6081</x:v>
      </x:c>
      <x:c r="K29" s="24" t="n">
        <x:f>IF('Setup'!$B$22&gt;0,"",MIN(F29,J29))</x:f>
        <x:v>6081</x:v>
      </x:c>
      <x:c r="L29" s="24" t="n">
        <x:f>IF('Setup'!$B$22&gt;0,"",MAX(0,F29-K29))</x:f>
        <x:v>47907</x:v>
      </x:c>
      <x:c r="M29" s="23" t="n">
        <x:f>IF('Setup'!$B$22&gt;0,"",IF(J29=0,0,K29/J29))</x:f>
        <x:v>1</x:v>
      </x:c>
      <x:c r="N29" s="25" t="n">
        <x:f>IF('Setup'!$B$22&gt;0,"",SUM('Capacity'!Z87:Z89)*C29)</x:f>
        <x:v>10704.48</x:v>
      </x:c>
      <x:c r="O29" s="25" t="n">
        <x:f>IF('Setup'!$B$22&gt;0,"",SUM('Capacity'!Q87:Q89)*C29)</x:f>
        <x:v>1879.1999999999998</x:v>
      </x:c>
      <x:c r="P29" s="1" t="str">
        <x:f>IF('Setup'!$B$22&gt;0,"",IF(C29=0,"Closed",INDEX('Processes'!$A$6:$A$8,MATCH(J29,G29:I29,0))))</x:f>
        <x:v>Ship</x:v>
      </x:c>
      <x:c r="Q29" s="1" t="n">
        <x:f>IF('Setup'!$B$22&gt;0,"",IF(C29=0,0,MAX(0,ROUNDUP(F29/'Capacity'!X87-'Capacity'!Y87,0)-'Capacity'!G87)))</x:f>
        <x:v>186</x:v>
      </x:c>
      <x:c r="R29" s="1" t="n">
        <x:f>IF('Setup'!$B$22&gt;0,"",IF(C29=0,0,MAX(0,ROUNDUP(F29/'Capacity'!X88-'Capacity'!Y88,0)-'Capacity'!G88)))</x:f>
        <x:v>157</x:v>
      </x:c>
      <x:c r="S29" s="1" t="n">
        <x:f>IF('Setup'!$B$22&gt;0,"",IF(C29=0,0,MAX(0,ROUNDUP(F29/'Capacity'!X89-'Capacity'!Y89,0)-'Capacity'!G89)))</x:f>
        <x:v>95</x:v>
      </x:c>
      <x:c r="T29" s="1" t="str">
        <x:f>IF('Setup'!$B$22&gt;0,"",IF(C29=0,IF(L29&gt;'Setup'!$B$7,"Backlog on closed day","Closed"),IF(OR(V29&gt;0,W29&gt;0),"Resolve staffing limits",IF(U29&gt;0,"Resolve physical limit",IF(L29&gt;'Setup'!$B$7,"Close labor capacity gap",IF(L29&gt;0,"Backlog below threshold","Within daily capacity"))))))</x:f>
        <x:v>Resolve physical limit</x:v>
      </x:c>
      <x:c r="U29" s="1" t="n">
        <x:f>IF('Setup'!$B$22&gt;0,"",IF(C29=0,0,MAX(0,F29-INT(MIN('Capacity'!M87:M89)))))</x:f>
        <x:v>47188</x:v>
      </x:c>
      <x:c r="V29" s="1" t="n">
        <x:f>IF('Setup'!$B$22&gt;0,"",SUM('Capacity'!T87:T89)*C29)</x:f>
        <x:v>0</x:v>
      </x:c>
      <x:c r="W29" s="1" t="n">
        <x:f>IF('Setup'!$B$22&gt;0,"",SUM('Capacity'!W87:W89)*C29)</x:f>
        <x:v>0</x:v>
      </x:c>
    </x:row>
    <x:row r="30" ht="23" customHeight="1">
      <x:c r="A30" s="20" t="n">
        <x:f>IF('Setup'!$B$22&gt;0,"",'Demand'!A30)</x:f>
        <x:v>46324</x:v>
      </x:c>
      <x:c r="B30" s="1" t="n">
        <x:f>IF('Setup'!$B$22&gt;0,"",'Demand'!B30)</x:f>
        <x:v>4</x:v>
      </x:c>
      <x:c r="C30" s="1" t="n">
        <x:f>IF('Setup'!$B$22&gt;0,"",'Demand'!C30)</x:f>
        <x:v>1</x:v>
      </x:c>
      <x:c r="D30" s="24" t="n">
        <x:f>IF('Setup'!$B$22&gt;0,"",ROUND('Demand'!D30*'Setup'!B19,0))</x:f>
        <x:v>9350</x:v>
      </x:c>
      <x:c r="E30" s="24" t="n">
        <x:f>IF('Setup'!$B$22&gt;0,"",L29)</x:f>
        <x:v>47907</x:v>
      </x:c>
      <x:c r="F30" s="24" t="n">
        <x:f>IF('Setup'!$B$22&gt;0,"",D30+E30)</x:f>
        <x:v>57257</x:v>
      </x:c>
      <x:c r="G30" s="24" t="n">
        <x:f>IF('Setup'!$B$22&gt;0,"",'Capacity'!N87*C30)</x:f>
        <x:v>6769</x:v>
      </x:c>
      <x:c r="H30" s="24" t="n">
        <x:f>IF('Setup'!$B$22&gt;0,"",'Capacity'!N88*C30)</x:f>
        <x:v>6290</x:v>
      </x:c>
      <x:c r="I30" s="24" t="n">
        <x:f>IF('Setup'!$B$22&gt;0,"",'Capacity'!N89*C30)</x:f>
        <x:v>6081</x:v>
      </x:c>
      <x:c r="J30" s="24" t="n">
        <x:f>IF('Setup'!$B$22&gt;0,"",MIN(G30:I30))</x:f>
        <x:v>6081</x:v>
      </x:c>
      <x:c r="K30" s="24" t="n">
        <x:f>IF('Setup'!$B$22&gt;0,"",MIN(F30,J30))</x:f>
        <x:v>6081</x:v>
      </x:c>
      <x:c r="L30" s="24" t="n">
        <x:f>IF('Setup'!$B$22&gt;0,"",MAX(0,F30-K30))</x:f>
        <x:v>51176</x:v>
      </x:c>
      <x:c r="M30" s="23" t="n">
        <x:f>IF('Setup'!$B$22&gt;0,"",IF(J30=0,0,K30/J30))</x:f>
        <x:v>1</x:v>
      </x:c>
      <x:c r="N30" s="25" t="n">
        <x:f>IF('Setup'!$B$22&gt;0,"",SUM('Capacity'!Z87:Z89)*C30)</x:f>
        <x:v>10704.48</x:v>
      </x:c>
      <x:c r="O30" s="25" t="n">
        <x:f>IF('Setup'!$B$22&gt;0,"",SUM('Capacity'!Q87:Q89)*C30)</x:f>
        <x:v>1879.1999999999998</x:v>
      </x:c>
      <x:c r="P30" s="1" t="str">
        <x:f>IF('Setup'!$B$22&gt;0,"",IF(C30=0,"Closed",INDEX('Processes'!$A$6:$A$8,MATCH(J30,G30:I30,0))))</x:f>
        <x:v>Ship</x:v>
      </x:c>
      <x:c r="Q30" s="1" t="n">
        <x:f>IF('Setup'!$B$22&gt;0,"",IF(C30=0,0,MAX(0,ROUNDUP(F30/'Capacity'!X87-'Capacity'!Y87,0)-'Capacity'!G87)))</x:f>
        <x:v>199</x:v>
      </x:c>
      <x:c r="R30" s="1" t="n">
        <x:f>IF('Setup'!$B$22&gt;0,"",IF(C30=0,0,MAX(0,ROUNDUP(F30/'Capacity'!X88-'Capacity'!Y88,0)-'Capacity'!G88)))</x:f>
        <x:v>167</x:v>
      </x:c>
      <x:c r="S30" s="1" t="n">
        <x:f>IF('Setup'!$B$22&gt;0,"",IF(C30=0,0,MAX(0,ROUNDUP(F30/'Capacity'!X89-'Capacity'!Y89,0)-'Capacity'!G89)))</x:f>
        <x:v>101</x:v>
      </x:c>
      <x:c r="T30" s="1" t="str">
        <x:f>IF('Setup'!$B$22&gt;0,"",IF(C30=0,IF(L30&gt;'Setup'!$B$7,"Backlog on closed day","Closed"),IF(OR(V30&gt;0,W30&gt;0),"Resolve staffing limits",IF(U30&gt;0,"Resolve physical limit",IF(L30&gt;'Setup'!$B$7,"Close labor capacity gap",IF(L30&gt;0,"Backlog below threshold","Within daily capacity"))))))</x:f>
        <x:v>Resolve physical limit</x:v>
      </x:c>
      <x:c r="U30" s="1" t="n">
        <x:f>IF('Setup'!$B$22&gt;0,"",IF(C30=0,0,MAX(0,F30-INT(MIN('Capacity'!M87:M89)))))</x:f>
        <x:v>50457</x:v>
      </x:c>
      <x:c r="V30" s="1" t="n">
        <x:f>IF('Setup'!$B$22&gt;0,"",SUM('Capacity'!T87:T89)*C30)</x:f>
        <x:v>0</x:v>
      </x:c>
      <x:c r="W30" s="1" t="n">
        <x:f>IF('Setup'!$B$22&gt;0,"",SUM('Capacity'!W87:W89)*C30)</x:f>
        <x:v>0</x:v>
      </x:c>
    </x:row>
    <x:row r="31" ht="23" customHeight="1">
      <x:c r="A31" s="20" t="n">
        <x:f>IF('Setup'!$B$22&gt;0,"",'Demand'!A31)</x:f>
        <x:v>46325</x:v>
      </x:c>
      <x:c r="B31" s="1" t="n">
        <x:f>IF('Setup'!$B$22&gt;0,"",'Demand'!B31)</x:f>
        <x:v>4</x:v>
      </x:c>
      <x:c r="C31" s="1" t="n">
        <x:f>IF('Setup'!$B$22&gt;0,"",'Demand'!C31)</x:f>
        <x:v>1</x:v>
      </x:c>
      <x:c r="D31" s="24" t="n">
        <x:f>IF('Setup'!$B$22&gt;0,"",ROUND('Demand'!D31*'Setup'!B19,0))</x:f>
        <x:v>9350</x:v>
      </x:c>
      <x:c r="E31" s="24" t="n">
        <x:f>IF('Setup'!$B$22&gt;0,"",L30)</x:f>
        <x:v>51176</x:v>
      </x:c>
      <x:c r="F31" s="24" t="n">
        <x:f>IF('Setup'!$B$22&gt;0,"",D31+E31)</x:f>
        <x:v>60526</x:v>
      </x:c>
      <x:c r="G31" s="24" t="n">
        <x:f>IF('Setup'!$B$22&gt;0,"",'Capacity'!N87*C31)</x:f>
        <x:v>6769</x:v>
      </x:c>
      <x:c r="H31" s="24" t="n">
        <x:f>IF('Setup'!$B$22&gt;0,"",'Capacity'!N88*C31)</x:f>
        <x:v>6290</x:v>
      </x:c>
      <x:c r="I31" s="24" t="n">
        <x:f>IF('Setup'!$B$22&gt;0,"",'Capacity'!N89*C31)</x:f>
        <x:v>6081</x:v>
      </x:c>
      <x:c r="J31" s="24" t="n">
        <x:f>IF('Setup'!$B$22&gt;0,"",MIN(G31:I31))</x:f>
        <x:v>6081</x:v>
      </x:c>
      <x:c r="K31" s="24" t="n">
        <x:f>IF('Setup'!$B$22&gt;0,"",MIN(F31,J31))</x:f>
        <x:v>6081</x:v>
      </x:c>
      <x:c r="L31" s="24" t="n">
        <x:f>IF('Setup'!$B$22&gt;0,"",MAX(0,F31-K31))</x:f>
        <x:v>54445</x:v>
      </x:c>
      <x:c r="M31" s="23" t="n">
        <x:f>IF('Setup'!$B$22&gt;0,"",IF(J31=0,0,K31/J31))</x:f>
        <x:v>1</x:v>
      </x:c>
      <x:c r="N31" s="25" t="n">
        <x:f>IF('Setup'!$B$22&gt;0,"",SUM('Capacity'!Z87:Z89)*C31)</x:f>
        <x:v>10704.48</x:v>
      </x:c>
      <x:c r="O31" s="25" t="n">
        <x:f>IF('Setup'!$B$22&gt;0,"",SUM('Capacity'!Q87:Q89)*C31)</x:f>
        <x:v>1879.1999999999998</x:v>
      </x:c>
      <x:c r="P31" s="1" t="str">
        <x:f>IF('Setup'!$B$22&gt;0,"",IF(C31=0,"Closed",INDEX('Processes'!$A$6:$A$8,MATCH(J31,G31:I31,0))))</x:f>
        <x:v>Ship</x:v>
      </x:c>
      <x:c r="Q31" s="1" t="n">
        <x:f>IF('Setup'!$B$22&gt;0,"",IF(C31=0,0,MAX(0,ROUNDUP(F31/'Capacity'!X87-'Capacity'!Y87,0)-'Capacity'!G87)))</x:f>
        <x:v>212</x:v>
      </x:c>
      <x:c r="R31" s="1" t="n">
        <x:f>IF('Setup'!$B$22&gt;0,"",IF(C31=0,0,MAX(0,ROUNDUP(F31/'Capacity'!X88-'Capacity'!Y88,0)-'Capacity'!G88)))</x:f>
        <x:v>178</x:v>
      </x:c>
      <x:c r="S31" s="1" t="n">
        <x:f>IF('Setup'!$B$22&gt;0,"",IF(C31=0,0,MAX(0,ROUNDUP(F31/'Capacity'!X89-'Capacity'!Y89,0)-'Capacity'!G89)))</x:f>
        <x:v>107</x:v>
      </x:c>
      <x:c r="T31" s="1" t="str">
        <x:f>IF('Setup'!$B$22&gt;0,"",IF(C31=0,IF(L31&gt;'Setup'!$B$7,"Backlog on closed day","Closed"),IF(OR(V31&gt;0,W31&gt;0),"Resolve staffing limits",IF(U31&gt;0,"Resolve physical limit",IF(L31&gt;'Setup'!$B$7,"Close labor capacity gap",IF(L31&gt;0,"Backlog below threshold","Within daily capacity"))))))</x:f>
        <x:v>Resolve physical limit</x:v>
      </x:c>
      <x:c r="U31" s="1" t="n">
        <x:f>IF('Setup'!$B$22&gt;0,"",IF(C31=0,0,MAX(0,F31-INT(MIN('Capacity'!M87:M89)))))</x:f>
        <x:v>53726</x:v>
      </x:c>
      <x:c r="V31" s="1" t="n">
        <x:f>IF('Setup'!$B$22&gt;0,"",SUM('Capacity'!T87:T89)*C31)</x:f>
        <x:v>0</x:v>
      </x:c>
      <x:c r="W31" s="1" t="n">
        <x:f>IF('Setup'!$B$22&gt;0,"",SUM('Capacity'!W87:W89)*C31)</x:f>
        <x:v>0</x:v>
      </x:c>
    </x:row>
    <x:row r="32" ht="23" customHeight="1">
      <x:c r="A32" s="20" t="n">
        <x:f>IF('Setup'!$B$22&gt;0,"",'Demand'!A32)</x:f>
        <x:v>46326</x:v>
      </x:c>
      <x:c r="B32" s="1" t="n">
        <x:f>IF('Setup'!$B$22&gt;0,"",'Demand'!B32)</x:f>
        <x:v>4</x:v>
      </x:c>
      <x:c r="C32" s="1" t="n">
        <x:f>IF('Setup'!$B$22&gt;0,"",'Demand'!C32)</x:f>
        <x:v>0</x:v>
      </x:c>
      <x:c r="D32" s="24" t="n">
        <x:f>IF('Setup'!$B$22&gt;0,"",ROUND('Demand'!D32*'Setup'!B19,0))</x:f>
        <x:v>0</x:v>
      </x:c>
      <x:c r="E32" s="24" t="n">
        <x:f>IF('Setup'!$B$22&gt;0,"",L31)</x:f>
        <x:v>54445</x:v>
      </x:c>
      <x:c r="F32" s="24" t="n">
        <x:f>IF('Setup'!$B$22&gt;0,"",D32+E32)</x:f>
        <x:v>54445</x:v>
      </x:c>
      <x:c r="G32" s="24" t="n">
        <x:f>IF('Setup'!$B$22&gt;0,"",'Capacity'!N87*C32)</x:f>
        <x:v>0</x:v>
      </x:c>
      <x:c r="H32" s="24" t="n">
        <x:f>IF('Setup'!$B$22&gt;0,"",'Capacity'!N88*C32)</x:f>
        <x:v>0</x:v>
      </x:c>
      <x:c r="I32" s="24" t="n">
        <x:f>IF('Setup'!$B$22&gt;0,"",'Capacity'!N89*C32)</x:f>
        <x:v>0</x:v>
      </x:c>
      <x:c r="J32" s="24" t="n">
        <x:f>IF('Setup'!$B$22&gt;0,"",MIN(G32:I32))</x:f>
        <x:v>0</x:v>
      </x:c>
      <x:c r="K32" s="24" t="n">
        <x:f>IF('Setup'!$B$22&gt;0,"",MIN(F32,J32))</x:f>
        <x:v>0</x:v>
      </x:c>
      <x:c r="L32" s="24" t="n">
        <x:f>IF('Setup'!$B$22&gt;0,"",MAX(0,F32-K32))</x:f>
        <x:v>54445</x:v>
      </x:c>
      <x:c r="M32" s="23" t="n">
        <x:f>IF('Setup'!$B$22&gt;0,"",IF(J32=0,0,K32/J32))</x:f>
        <x:v>0</x:v>
      </x:c>
      <x:c r="N32" s="25" t="n">
        <x:f>IF('Setup'!$B$22&gt;0,"",SUM('Capacity'!Z87:Z89)*C32)</x:f>
        <x:v>0</x:v>
      </x:c>
      <x:c r="O32" s="25" t="n">
        <x:f>IF('Setup'!$B$22&gt;0,"",SUM('Capacity'!Q87:Q89)*C32)</x:f>
        <x:v>0</x:v>
      </x:c>
      <x:c r="P32" s="1" t="str">
        <x:f>IF('Setup'!$B$22&gt;0,"",IF(C32=0,"Closed",INDEX('Processes'!$A$6:$A$8,MATCH(J32,G32:I32,0))))</x:f>
        <x:v>Closed</x:v>
      </x:c>
      <x:c r="Q32" s="1" t="n">
        <x:f>IF('Setup'!$B$22&gt;0,"",IF(C32=0,0,MAX(0,ROUNDUP(F32/'Capacity'!X87-'Capacity'!Y87,0)-'Capacity'!G87)))</x:f>
        <x:v>0</x:v>
      </x:c>
      <x:c r="R32" s="1" t="n">
        <x:f>IF('Setup'!$B$22&gt;0,"",IF(C32=0,0,MAX(0,ROUNDUP(F32/'Capacity'!X88-'Capacity'!Y88,0)-'Capacity'!G88)))</x:f>
        <x:v>0</x:v>
      </x:c>
      <x:c r="S32" s="1" t="n">
        <x:f>IF('Setup'!$B$22&gt;0,"",IF(C32=0,0,MAX(0,ROUNDUP(F32/'Capacity'!X89-'Capacity'!Y89,0)-'Capacity'!G89)))</x:f>
        <x:v>0</x:v>
      </x:c>
      <x:c r="T32" s="1" t="str">
        <x:f>IF('Setup'!$B$22&gt;0,"",IF(C32=0,IF(L32&gt;'Setup'!$B$7,"Backlog on closed day","Closed"),IF(OR(V32&gt;0,W32&gt;0),"Resolve staffing limits",IF(U32&gt;0,"Resolve physical limit",IF(L32&gt;'Setup'!$B$7,"Close labor capacity gap",IF(L32&gt;0,"Backlog below threshold","Within daily capacity"))))))</x:f>
        <x:v>Backlog on closed day</x:v>
      </x:c>
      <x:c r="U32" s="1" t="n">
        <x:f>IF('Setup'!$B$22&gt;0,"",IF(C32=0,0,MAX(0,F32-INT(MIN('Capacity'!M87:M89)))))</x:f>
        <x:v>0</x:v>
      </x:c>
      <x:c r="V32" s="1" t="n">
        <x:f>IF('Setup'!$B$22&gt;0,"",SUM('Capacity'!T87:T89)*C32)</x:f>
        <x:v>0</x:v>
      </x:c>
      <x:c r="W32" s="1" t="n">
        <x:f>IF('Setup'!$B$22&gt;0,"",SUM('Capacity'!W87:W89)*C32)</x:f>
        <x:v>0</x:v>
      </x:c>
    </x:row>
    <x:row r="33" ht="23" customHeight="1">
      <x:c r="A33" s="20" t="n">
        <x:f>IF('Setup'!$B$22&gt;0,"",'Demand'!A33)</x:f>
        <x:v>46327</x:v>
      </x:c>
      <x:c r="B33" s="1" t="n">
        <x:f>IF('Setup'!$B$22&gt;0,"",'Demand'!B33)</x:f>
        <x:v>4</x:v>
      </x:c>
      <x:c r="C33" s="1" t="n">
        <x:f>IF('Setup'!$B$22&gt;0,"",'Demand'!C33)</x:f>
        <x:v>0</x:v>
      </x:c>
      <x:c r="D33" s="24" t="n">
        <x:f>IF('Setup'!$B$22&gt;0,"",ROUND('Demand'!D33*'Setup'!B19,0))</x:f>
        <x:v>0</x:v>
      </x:c>
      <x:c r="E33" s="24" t="n">
        <x:f>IF('Setup'!$B$22&gt;0,"",L32)</x:f>
        <x:v>54445</x:v>
      </x:c>
      <x:c r="F33" s="24" t="n">
        <x:f>IF('Setup'!$B$22&gt;0,"",D33+E33)</x:f>
        <x:v>54445</x:v>
      </x:c>
      <x:c r="G33" s="24" t="n">
        <x:f>IF('Setup'!$B$22&gt;0,"",'Capacity'!N87*C33)</x:f>
        <x:v>0</x:v>
      </x:c>
      <x:c r="H33" s="24" t="n">
        <x:f>IF('Setup'!$B$22&gt;0,"",'Capacity'!N88*C33)</x:f>
        <x:v>0</x:v>
      </x:c>
      <x:c r="I33" s="24" t="n">
        <x:f>IF('Setup'!$B$22&gt;0,"",'Capacity'!N89*C33)</x:f>
        <x:v>0</x:v>
      </x:c>
      <x:c r="J33" s="24" t="n">
        <x:f>IF('Setup'!$B$22&gt;0,"",MIN(G33:I33))</x:f>
        <x:v>0</x:v>
      </x:c>
      <x:c r="K33" s="24" t="n">
        <x:f>IF('Setup'!$B$22&gt;0,"",MIN(F33,J33))</x:f>
        <x:v>0</x:v>
      </x:c>
      <x:c r="L33" s="24" t="n">
        <x:f>IF('Setup'!$B$22&gt;0,"",MAX(0,F33-K33))</x:f>
        <x:v>54445</x:v>
      </x:c>
      <x:c r="M33" s="23" t="n">
        <x:f>IF('Setup'!$B$22&gt;0,"",IF(J33=0,0,K33/J33))</x:f>
        <x:v>0</x:v>
      </x:c>
      <x:c r="N33" s="25" t="n">
        <x:f>IF('Setup'!$B$22&gt;0,"",SUM('Capacity'!Z87:Z89)*C33)</x:f>
        <x:v>0</x:v>
      </x:c>
      <x:c r="O33" s="25" t="n">
        <x:f>IF('Setup'!$B$22&gt;0,"",SUM('Capacity'!Q87:Q89)*C33)</x:f>
        <x:v>0</x:v>
      </x:c>
      <x:c r="P33" s="1" t="str">
        <x:f>IF('Setup'!$B$22&gt;0,"",IF(C33=0,"Closed",INDEX('Processes'!$A$6:$A$8,MATCH(J33,G33:I33,0))))</x:f>
        <x:v>Closed</x:v>
      </x:c>
      <x:c r="Q33" s="1" t="n">
        <x:f>IF('Setup'!$B$22&gt;0,"",IF(C33=0,0,MAX(0,ROUNDUP(F33/'Capacity'!X87-'Capacity'!Y87,0)-'Capacity'!G87)))</x:f>
        <x:v>0</x:v>
      </x:c>
      <x:c r="R33" s="1" t="n">
        <x:f>IF('Setup'!$B$22&gt;0,"",IF(C33=0,0,MAX(0,ROUNDUP(F33/'Capacity'!X88-'Capacity'!Y88,0)-'Capacity'!G88)))</x:f>
        <x:v>0</x:v>
      </x:c>
      <x:c r="S33" s="1" t="n">
        <x:f>IF('Setup'!$B$22&gt;0,"",IF(C33=0,0,MAX(0,ROUNDUP(F33/'Capacity'!X89-'Capacity'!Y89,0)-'Capacity'!G89)))</x:f>
        <x:v>0</x:v>
      </x:c>
      <x:c r="T33" s="1" t="str">
        <x:f>IF('Setup'!$B$22&gt;0,"",IF(C33=0,IF(L33&gt;'Setup'!$B$7,"Backlog on closed day","Closed"),IF(OR(V33&gt;0,W33&gt;0),"Resolve staffing limits",IF(U33&gt;0,"Resolve physical limit",IF(L33&gt;'Setup'!$B$7,"Close labor capacity gap",IF(L33&gt;0,"Backlog below threshold","Within daily capacity"))))))</x:f>
        <x:v>Backlog on closed day</x:v>
      </x:c>
      <x:c r="U33" s="1" t="n">
        <x:f>IF('Setup'!$B$22&gt;0,"",IF(C33=0,0,MAX(0,F33-INT(MIN('Capacity'!M87:M89)))))</x:f>
        <x:v>0</x:v>
      </x:c>
      <x:c r="V33" s="1" t="n">
        <x:f>IF('Setup'!$B$22&gt;0,"",SUM('Capacity'!T87:T89)*C33)</x:f>
        <x:v>0</x:v>
      </x:c>
      <x:c r="W33" s="1" t="n">
        <x:f>IF('Setup'!$B$22&gt;0,"",SUM('Capacity'!W87:W89)*C33)</x:f>
        <x:v>0</x:v>
      </x:c>
    </x:row>
    <x:row r="34" ht="23" customHeight="1">
      <x:c r="A34" s="20" t="n">
        <x:f>IF('Setup'!$B$22&gt;0,"",'Demand'!A34)</x:f>
        <x:v>46328</x:v>
      </x:c>
      <x:c r="B34" s="1" t="n">
        <x:f>IF('Setup'!$B$22&gt;0,"",'Demand'!B34)</x:f>
        <x:v>5</x:v>
      </x:c>
      <x:c r="C34" s="1" t="n">
        <x:f>IF('Setup'!$B$22&gt;0,"",'Demand'!C34)</x:f>
        <x:v>1</x:v>
      </x:c>
      <x:c r="D34" s="24" t="n">
        <x:f>IF('Setup'!$B$22&gt;0,"",ROUND('Demand'!D34*'Setup'!B19,0))</x:f>
        <x:v>9900</x:v>
      </x:c>
      <x:c r="E34" s="24" t="n">
        <x:f>IF('Setup'!$B$22&gt;0,"",L33)</x:f>
        <x:v>54445</x:v>
      </x:c>
      <x:c r="F34" s="24" t="n">
        <x:f>IF('Setup'!$B$22&gt;0,"",D34+E34)</x:f>
        <x:v>64345</x:v>
      </x:c>
      <x:c r="G34" s="24" t="n">
        <x:f>IF('Setup'!$B$22&gt;0,"",'Capacity'!N90*C34)</x:f>
        <x:v>7880</x:v>
      </x:c>
      <x:c r="H34" s="24" t="n">
        <x:f>IF('Setup'!$B$22&gt;0,"",'Capacity'!N91*C34)</x:f>
        <x:v>7370</x:v>
      </x:c>
      <x:c r="I34" s="24" t="n">
        <x:f>IF('Setup'!$B$22&gt;0,"",'Capacity'!N92*C34)</x:f>
        <x:v>6800</x:v>
      </x:c>
      <x:c r="J34" s="24" t="n">
        <x:f>IF('Setup'!$B$22&gt;0,"",MIN(G34:I34))</x:f>
        <x:v>6800</x:v>
      </x:c>
      <x:c r="K34" s="24" t="n">
        <x:f>IF('Setup'!$B$22&gt;0,"",MIN(F34,J34))</x:f>
        <x:v>6800</x:v>
      </x:c>
      <x:c r="L34" s="24" t="n">
        <x:f>IF('Setup'!$B$22&gt;0,"",MAX(0,F34-K34))</x:f>
        <x:v>57545</x:v>
      </x:c>
      <x:c r="M34" s="23" t="n">
        <x:f>IF('Setup'!$B$22&gt;0,"",IF(J34=0,0,K34/J34))</x:f>
        <x:v>1</x:v>
      </x:c>
      <x:c r="N34" s="25" t="n">
        <x:f>IF('Setup'!$B$22&gt;0,"",SUM('Capacity'!Z90:Z92)*C34)</x:f>
        <x:v>12711.57</x:v>
      </x:c>
      <x:c r="O34" s="25" t="n">
        <x:f>IF('Setup'!$B$22&gt;0,"",SUM('Capacity'!Q90:Q92)*C34)</x:f>
        <x:v>3886.29</x:v>
      </x:c>
      <x:c r="P34" s="1" t="str">
        <x:f>IF('Setup'!$B$22&gt;0,"",IF(C34=0,"Closed",INDEX('Processes'!$A$6:$A$8,MATCH(J34,G34:I34,0))))</x:f>
        <x:v>Ship</x:v>
      </x:c>
      <x:c r="Q34" s="1" t="n">
        <x:f>IF('Setup'!$B$22&gt;0,"",IF(C34=0,0,MAX(0,ROUNDUP(F34/'Capacity'!X90-'Capacity'!Y90,0)-'Capacity'!G90)))</x:f>
        <x:v>195</x:v>
      </x:c>
      <x:c r="R34" s="1" t="n">
        <x:f>IF('Setup'!$B$22&gt;0,"",IF(C34=0,0,MAX(0,ROUNDUP(F34/'Capacity'!X91-'Capacity'!Y91,0)-'Capacity'!G91)))</x:f>
        <x:v>164</x:v>
      </x:c>
      <x:c r="S34" s="1" t="n">
        <x:f>IF('Setup'!$B$22&gt;0,"",IF(C34=0,0,MAX(0,ROUNDUP(F34/'Capacity'!X92-'Capacity'!Y92,0)-'Capacity'!G92)))</x:f>
        <x:v>99</x:v>
      </x:c>
      <x:c r="T34" s="1" t="str">
        <x:f>IF('Setup'!$B$22&gt;0,"",IF(C34=0,IF(L34&gt;'Setup'!$B$7,"Backlog on closed day","Closed"),IF(OR(V34&gt;0,W34&gt;0),"Resolve staffing limits",IF(U34&gt;0,"Resolve physical limit",IF(L34&gt;'Setup'!$B$7,"Close labor capacity gap",IF(L34&gt;0,"Backlog below threshold","Within daily capacity"))))))</x:f>
        <x:v>Resolve physical limit</x:v>
      </x:c>
      <x:c r="U34" s="1" t="n">
        <x:f>IF('Setup'!$B$22&gt;0,"",IF(C34=0,0,MAX(0,F34-INT(MIN('Capacity'!M90:M92)))))</x:f>
        <x:v>57545</x:v>
      </x:c>
      <x:c r="V34" s="1" t="n">
        <x:f>IF('Setup'!$B$22&gt;0,"",SUM('Capacity'!T90:T92)*C34)</x:f>
        <x:v>0</x:v>
      </x:c>
      <x:c r="W34" s="1" t="n">
        <x:f>IF('Setup'!$B$22&gt;0,"",SUM('Capacity'!W90:W92)*C34)</x:f>
        <x:v>0</x:v>
      </x:c>
    </x:row>
    <x:row r="35" ht="23" customHeight="1">
      <x:c r="A35" s="20" t="n">
        <x:f>IF('Setup'!$B$22&gt;0,"",'Demand'!A35)</x:f>
        <x:v>46329</x:v>
      </x:c>
      <x:c r="B35" s="1" t="n">
        <x:f>IF('Setup'!$B$22&gt;0,"",'Demand'!B35)</x:f>
        <x:v>5</x:v>
      </x:c>
      <x:c r="C35" s="1" t="n">
        <x:f>IF('Setup'!$B$22&gt;0,"",'Demand'!C35)</x:f>
        <x:v>1</x:v>
      </x:c>
      <x:c r="D35" s="24" t="n">
        <x:f>IF('Setup'!$B$22&gt;0,"",ROUND('Demand'!D35*'Setup'!B19,0))</x:f>
        <x:v>9900</x:v>
      </x:c>
      <x:c r="E35" s="24" t="n">
        <x:f>IF('Setup'!$B$22&gt;0,"",L34)</x:f>
        <x:v>57545</x:v>
      </x:c>
      <x:c r="F35" s="24" t="n">
        <x:f>IF('Setup'!$B$22&gt;0,"",D35+E35)</x:f>
        <x:v>67445</x:v>
      </x:c>
      <x:c r="G35" s="24" t="n">
        <x:f>IF('Setup'!$B$22&gt;0,"",'Capacity'!N90*C35)</x:f>
        <x:v>7880</x:v>
      </x:c>
      <x:c r="H35" s="24" t="n">
        <x:f>IF('Setup'!$B$22&gt;0,"",'Capacity'!N91*C35)</x:f>
        <x:v>7370</x:v>
      </x:c>
      <x:c r="I35" s="24" t="n">
        <x:f>IF('Setup'!$B$22&gt;0,"",'Capacity'!N92*C35)</x:f>
        <x:v>6800</x:v>
      </x:c>
      <x:c r="J35" s="24" t="n">
        <x:f>IF('Setup'!$B$22&gt;0,"",MIN(G35:I35))</x:f>
        <x:v>6800</x:v>
      </x:c>
      <x:c r="K35" s="24" t="n">
        <x:f>IF('Setup'!$B$22&gt;0,"",MIN(F35,J35))</x:f>
        <x:v>6800</x:v>
      </x:c>
      <x:c r="L35" s="24" t="n">
        <x:f>IF('Setup'!$B$22&gt;0,"",MAX(0,F35-K35))</x:f>
        <x:v>60645</x:v>
      </x:c>
      <x:c r="M35" s="23" t="n">
        <x:f>IF('Setup'!$B$22&gt;0,"",IF(J35=0,0,K35/J35))</x:f>
        <x:v>1</x:v>
      </x:c>
      <x:c r="N35" s="25" t="n">
        <x:f>IF('Setup'!$B$22&gt;0,"",SUM('Capacity'!Z90:Z92)*C35)</x:f>
        <x:v>12711.57</x:v>
      </x:c>
      <x:c r="O35" s="25" t="n">
        <x:f>IF('Setup'!$B$22&gt;0,"",SUM('Capacity'!Q90:Q92)*C35)</x:f>
        <x:v>3886.29</x:v>
      </x:c>
      <x:c r="P35" s="1" t="str">
        <x:f>IF('Setup'!$B$22&gt;0,"",IF(C35=0,"Closed",INDEX('Processes'!$A$6:$A$8,MATCH(J35,G35:I35,0))))</x:f>
        <x:v>Ship</x:v>
      </x:c>
      <x:c r="Q35" s="1" t="n">
        <x:f>IF('Setup'!$B$22&gt;0,"",IF(C35=0,0,MAX(0,ROUNDUP(F35/'Capacity'!X90-'Capacity'!Y90,0)-'Capacity'!G90)))</x:f>
        <x:v>206</x:v>
      </x:c>
      <x:c r="R35" s="1" t="n">
        <x:f>IF('Setup'!$B$22&gt;0,"",IF(C35=0,0,MAX(0,ROUNDUP(F35/'Capacity'!X91-'Capacity'!Y91,0)-'Capacity'!G91)))</x:f>
        <x:v>173</x:v>
      </x:c>
      <x:c r="S35" s="1" t="n">
        <x:f>IF('Setup'!$B$22&gt;0,"",IF(C35=0,0,MAX(0,ROUNDUP(F35/'Capacity'!X92-'Capacity'!Y92,0)-'Capacity'!G92)))</x:f>
        <x:v>105</x:v>
      </x:c>
      <x:c r="T35" s="1" t="str">
        <x:f>IF('Setup'!$B$22&gt;0,"",IF(C35=0,IF(L35&gt;'Setup'!$B$7,"Backlog on closed day","Closed"),IF(OR(V35&gt;0,W35&gt;0),"Resolve staffing limits",IF(U35&gt;0,"Resolve physical limit",IF(L35&gt;'Setup'!$B$7,"Close labor capacity gap",IF(L35&gt;0,"Backlog below threshold","Within daily capacity"))))))</x:f>
        <x:v>Resolve physical limit</x:v>
      </x:c>
      <x:c r="U35" s="1" t="n">
        <x:f>IF('Setup'!$B$22&gt;0,"",IF(C35=0,0,MAX(0,F35-INT(MIN('Capacity'!M90:M92)))))</x:f>
        <x:v>60645</x:v>
      </x:c>
      <x:c r="V35" s="1" t="n">
        <x:f>IF('Setup'!$B$22&gt;0,"",SUM('Capacity'!T90:T92)*C35)</x:f>
        <x:v>0</x:v>
      </x:c>
      <x:c r="W35" s="1" t="n">
        <x:f>IF('Setup'!$B$22&gt;0,"",SUM('Capacity'!W90:W92)*C35)</x:f>
        <x:v>0</x:v>
      </x:c>
    </x:row>
    <x:row r="36" ht="23" customHeight="1">
      <x:c r="A36" s="20" t="n">
        <x:f>IF('Setup'!$B$22&gt;0,"",'Demand'!A36)</x:f>
        <x:v>46330</x:v>
      </x:c>
      <x:c r="B36" s="1" t="n">
        <x:f>IF('Setup'!$B$22&gt;0,"",'Demand'!B36)</x:f>
        <x:v>5</x:v>
      </x:c>
      <x:c r="C36" s="1" t="n">
        <x:f>IF('Setup'!$B$22&gt;0,"",'Demand'!C36)</x:f>
        <x:v>1</x:v>
      </x:c>
      <x:c r="D36" s="24" t="n">
        <x:f>IF('Setup'!$B$22&gt;0,"",ROUND('Demand'!D36*'Setup'!B19,0))</x:f>
        <x:v>9900</x:v>
      </x:c>
      <x:c r="E36" s="24" t="n">
        <x:f>IF('Setup'!$B$22&gt;0,"",L35)</x:f>
        <x:v>60645</x:v>
      </x:c>
      <x:c r="F36" s="24" t="n">
        <x:f>IF('Setup'!$B$22&gt;0,"",D36+E36)</x:f>
        <x:v>70545</x:v>
      </x:c>
      <x:c r="G36" s="24" t="n">
        <x:f>IF('Setup'!$B$22&gt;0,"",'Capacity'!N90*C36)</x:f>
        <x:v>7880</x:v>
      </x:c>
      <x:c r="H36" s="24" t="n">
        <x:f>IF('Setup'!$B$22&gt;0,"",'Capacity'!N91*C36)</x:f>
        <x:v>7370</x:v>
      </x:c>
      <x:c r="I36" s="24" t="n">
        <x:f>IF('Setup'!$B$22&gt;0,"",'Capacity'!N92*C36)</x:f>
        <x:v>6800</x:v>
      </x:c>
      <x:c r="J36" s="24" t="n">
        <x:f>IF('Setup'!$B$22&gt;0,"",MIN(G36:I36))</x:f>
        <x:v>6800</x:v>
      </x:c>
      <x:c r="K36" s="24" t="n">
        <x:f>IF('Setup'!$B$22&gt;0,"",MIN(F36,J36))</x:f>
        <x:v>6800</x:v>
      </x:c>
      <x:c r="L36" s="24" t="n">
        <x:f>IF('Setup'!$B$22&gt;0,"",MAX(0,F36-K36))</x:f>
        <x:v>63745</x:v>
      </x:c>
      <x:c r="M36" s="23" t="n">
        <x:f>IF('Setup'!$B$22&gt;0,"",IF(J36=0,0,K36/J36))</x:f>
        <x:v>1</x:v>
      </x:c>
      <x:c r="N36" s="25" t="n">
        <x:f>IF('Setup'!$B$22&gt;0,"",SUM('Capacity'!Z90:Z92)*C36)</x:f>
        <x:v>12711.57</x:v>
      </x:c>
      <x:c r="O36" s="25" t="n">
        <x:f>IF('Setup'!$B$22&gt;0,"",SUM('Capacity'!Q90:Q92)*C36)</x:f>
        <x:v>3886.29</x:v>
      </x:c>
      <x:c r="P36" s="1" t="str">
        <x:f>IF('Setup'!$B$22&gt;0,"",IF(C36=0,"Closed",INDEX('Processes'!$A$6:$A$8,MATCH(J36,G36:I36,0))))</x:f>
        <x:v>Ship</x:v>
      </x:c>
      <x:c r="Q36" s="1" t="n">
        <x:f>IF('Setup'!$B$22&gt;0,"",IF(C36=0,0,MAX(0,ROUNDUP(F36/'Capacity'!X90-'Capacity'!Y90,0)-'Capacity'!G90)))</x:f>
        <x:v>217</x:v>
      </x:c>
      <x:c r="R36" s="1" t="n">
        <x:f>IF('Setup'!$B$22&gt;0,"",IF(C36=0,0,MAX(0,ROUNDUP(F36/'Capacity'!X91-'Capacity'!Y91,0)-'Capacity'!G91)))</x:f>
        <x:v>182</x:v>
      </x:c>
      <x:c r="S36" s="1" t="n">
        <x:f>IF('Setup'!$B$22&gt;0,"",IF(C36=0,0,MAX(0,ROUNDUP(F36/'Capacity'!X92-'Capacity'!Y92,0)-'Capacity'!G92)))</x:f>
        <x:v>110</x:v>
      </x:c>
      <x:c r="T36" s="1" t="str">
        <x:f>IF('Setup'!$B$22&gt;0,"",IF(C36=0,IF(L36&gt;'Setup'!$B$7,"Backlog on closed day","Closed"),IF(OR(V36&gt;0,W36&gt;0),"Resolve staffing limits",IF(U36&gt;0,"Resolve physical limit",IF(L36&gt;'Setup'!$B$7,"Close labor capacity gap",IF(L36&gt;0,"Backlog below threshold","Within daily capacity"))))))</x:f>
        <x:v>Resolve physical limit</x:v>
      </x:c>
      <x:c r="U36" s="1" t="n">
        <x:f>IF('Setup'!$B$22&gt;0,"",IF(C36=0,0,MAX(0,F36-INT(MIN('Capacity'!M90:M92)))))</x:f>
        <x:v>63745</x:v>
      </x:c>
      <x:c r="V36" s="1" t="n">
        <x:f>IF('Setup'!$B$22&gt;0,"",SUM('Capacity'!T90:T92)*C36)</x:f>
        <x:v>0</x:v>
      </x:c>
      <x:c r="W36" s="1" t="n">
        <x:f>IF('Setup'!$B$22&gt;0,"",SUM('Capacity'!W90:W92)*C36)</x:f>
        <x:v>0</x:v>
      </x:c>
    </x:row>
    <x:row r="37" ht="23" customHeight="1">
      <x:c r="A37" s="20" t="n">
        <x:f>IF('Setup'!$B$22&gt;0,"",'Demand'!A37)</x:f>
        <x:v>46331</x:v>
      </x:c>
      <x:c r="B37" s="1" t="n">
        <x:f>IF('Setup'!$B$22&gt;0,"",'Demand'!B37)</x:f>
        <x:v>5</x:v>
      </x:c>
      <x:c r="C37" s="1" t="n">
        <x:f>IF('Setup'!$B$22&gt;0,"",'Demand'!C37)</x:f>
        <x:v>1</x:v>
      </x:c>
      <x:c r="D37" s="24" t="n">
        <x:f>IF('Setup'!$B$22&gt;0,"",ROUND('Demand'!D37*'Setup'!B19,0))</x:f>
        <x:v>9900</x:v>
      </x:c>
      <x:c r="E37" s="24" t="n">
        <x:f>IF('Setup'!$B$22&gt;0,"",L36)</x:f>
        <x:v>63745</x:v>
      </x:c>
      <x:c r="F37" s="24" t="n">
        <x:f>IF('Setup'!$B$22&gt;0,"",D37+E37)</x:f>
        <x:v>73645</x:v>
      </x:c>
      <x:c r="G37" s="24" t="n">
        <x:f>IF('Setup'!$B$22&gt;0,"",'Capacity'!N90*C37)</x:f>
        <x:v>7880</x:v>
      </x:c>
      <x:c r="H37" s="24" t="n">
        <x:f>IF('Setup'!$B$22&gt;0,"",'Capacity'!N91*C37)</x:f>
        <x:v>7370</x:v>
      </x:c>
      <x:c r="I37" s="24" t="n">
        <x:f>IF('Setup'!$B$22&gt;0,"",'Capacity'!N92*C37)</x:f>
        <x:v>6800</x:v>
      </x:c>
      <x:c r="J37" s="24" t="n">
        <x:f>IF('Setup'!$B$22&gt;0,"",MIN(G37:I37))</x:f>
        <x:v>6800</x:v>
      </x:c>
      <x:c r="K37" s="24" t="n">
        <x:f>IF('Setup'!$B$22&gt;0,"",MIN(F37,J37))</x:f>
        <x:v>6800</x:v>
      </x:c>
      <x:c r="L37" s="24" t="n">
        <x:f>IF('Setup'!$B$22&gt;0,"",MAX(0,F37-K37))</x:f>
        <x:v>66845</x:v>
      </x:c>
      <x:c r="M37" s="23" t="n">
        <x:f>IF('Setup'!$B$22&gt;0,"",IF(J37=0,0,K37/J37))</x:f>
        <x:v>1</x:v>
      </x:c>
      <x:c r="N37" s="25" t="n">
        <x:f>IF('Setup'!$B$22&gt;0,"",SUM('Capacity'!Z90:Z92)*C37)</x:f>
        <x:v>12711.57</x:v>
      </x:c>
      <x:c r="O37" s="25" t="n">
        <x:f>IF('Setup'!$B$22&gt;0,"",SUM('Capacity'!Q90:Q92)*C37)</x:f>
        <x:v>3886.29</x:v>
      </x:c>
      <x:c r="P37" s="1" t="str">
        <x:f>IF('Setup'!$B$22&gt;0,"",IF(C37=0,"Closed",INDEX('Processes'!$A$6:$A$8,MATCH(J37,G37:I37,0))))</x:f>
        <x:v>Ship</x:v>
      </x:c>
      <x:c r="Q37" s="1" t="n">
        <x:f>IF('Setup'!$B$22&gt;0,"",IF(C37=0,0,MAX(0,ROUNDUP(F37/'Capacity'!X90-'Capacity'!Y90,0)-'Capacity'!G90)))</x:f>
        <x:v>228</x:v>
      </x:c>
      <x:c r="R37" s="1" t="n">
        <x:f>IF('Setup'!$B$22&gt;0,"",IF(C37=0,0,MAX(0,ROUNDUP(F37/'Capacity'!X91-'Capacity'!Y91,0)-'Capacity'!G91)))</x:f>
        <x:v>191</x:v>
      </x:c>
      <x:c r="S37" s="1" t="n">
        <x:f>IF('Setup'!$B$22&gt;0,"",IF(C37=0,0,MAX(0,ROUNDUP(F37/'Capacity'!X92-'Capacity'!Y92,0)-'Capacity'!G92)))</x:f>
        <x:v>115</x:v>
      </x:c>
      <x:c r="T37" s="1" t="str">
        <x:f>IF('Setup'!$B$22&gt;0,"",IF(C37=0,IF(L37&gt;'Setup'!$B$7,"Backlog on closed day","Closed"),IF(OR(V37&gt;0,W37&gt;0),"Resolve staffing limits",IF(U37&gt;0,"Resolve physical limit",IF(L37&gt;'Setup'!$B$7,"Close labor capacity gap",IF(L37&gt;0,"Backlog below threshold","Within daily capacity"))))))</x:f>
        <x:v>Resolve physical limit</x:v>
      </x:c>
      <x:c r="U37" s="1" t="n">
        <x:f>IF('Setup'!$B$22&gt;0,"",IF(C37=0,0,MAX(0,F37-INT(MIN('Capacity'!M90:M92)))))</x:f>
        <x:v>66845</x:v>
      </x:c>
      <x:c r="V37" s="1" t="n">
        <x:f>IF('Setup'!$B$22&gt;0,"",SUM('Capacity'!T90:T92)*C37)</x:f>
        <x:v>0</x:v>
      </x:c>
      <x:c r="W37" s="1" t="n">
        <x:f>IF('Setup'!$B$22&gt;0,"",SUM('Capacity'!W90:W92)*C37)</x:f>
        <x:v>0</x:v>
      </x:c>
    </x:row>
    <x:row r="38" ht="23" customHeight="1">
      <x:c r="A38" s="20" t="n">
        <x:f>IF('Setup'!$B$22&gt;0,"",'Demand'!A38)</x:f>
        <x:v>46332</x:v>
      </x:c>
      <x:c r="B38" s="1" t="n">
        <x:f>IF('Setup'!$B$22&gt;0,"",'Demand'!B38)</x:f>
        <x:v>5</x:v>
      </x:c>
      <x:c r="C38" s="1" t="n">
        <x:f>IF('Setup'!$B$22&gt;0,"",'Demand'!C38)</x:f>
        <x:v>1</x:v>
      </x:c>
      <x:c r="D38" s="24" t="n">
        <x:f>IF('Setup'!$B$22&gt;0,"",ROUND('Demand'!D38*'Setup'!B19,0))</x:f>
        <x:v>9900</x:v>
      </x:c>
      <x:c r="E38" s="24" t="n">
        <x:f>IF('Setup'!$B$22&gt;0,"",L37)</x:f>
        <x:v>66845</x:v>
      </x:c>
      <x:c r="F38" s="24" t="n">
        <x:f>IF('Setup'!$B$22&gt;0,"",D38+E38)</x:f>
        <x:v>76745</x:v>
      </x:c>
      <x:c r="G38" s="24" t="n">
        <x:f>IF('Setup'!$B$22&gt;0,"",'Capacity'!N90*C38)</x:f>
        <x:v>7880</x:v>
      </x:c>
      <x:c r="H38" s="24" t="n">
        <x:f>IF('Setup'!$B$22&gt;0,"",'Capacity'!N91*C38)</x:f>
        <x:v>7370</x:v>
      </x:c>
      <x:c r="I38" s="24" t="n">
        <x:f>IF('Setup'!$B$22&gt;0,"",'Capacity'!N92*C38)</x:f>
        <x:v>6800</x:v>
      </x:c>
      <x:c r="J38" s="24" t="n">
        <x:f>IF('Setup'!$B$22&gt;0,"",MIN(G38:I38))</x:f>
        <x:v>6800</x:v>
      </x:c>
      <x:c r="K38" s="24" t="n">
        <x:f>IF('Setup'!$B$22&gt;0,"",MIN(F38,J38))</x:f>
        <x:v>6800</x:v>
      </x:c>
      <x:c r="L38" s="24" t="n">
        <x:f>IF('Setup'!$B$22&gt;0,"",MAX(0,F38-K38))</x:f>
        <x:v>69945</x:v>
      </x:c>
      <x:c r="M38" s="23" t="n">
        <x:f>IF('Setup'!$B$22&gt;0,"",IF(J38=0,0,K38/J38))</x:f>
        <x:v>1</x:v>
      </x:c>
      <x:c r="N38" s="25" t="n">
        <x:f>IF('Setup'!$B$22&gt;0,"",SUM('Capacity'!Z90:Z92)*C38)</x:f>
        <x:v>12711.57</x:v>
      </x:c>
      <x:c r="O38" s="25" t="n">
        <x:f>IF('Setup'!$B$22&gt;0,"",SUM('Capacity'!Q90:Q92)*C38)</x:f>
        <x:v>3886.29</x:v>
      </x:c>
      <x:c r="P38" s="1" t="str">
        <x:f>IF('Setup'!$B$22&gt;0,"",IF(C38=0,"Closed",INDEX('Processes'!$A$6:$A$8,MATCH(J38,G38:I38,0))))</x:f>
        <x:v>Ship</x:v>
      </x:c>
      <x:c r="Q38" s="1" t="n">
        <x:f>IF('Setup'!$B$22&gt;0,"",IF(C38=0,0,MAX(0,ROUNDUP(F38/'Capacity'!X90-'Capacity'!Y90,0)-'Capacity'!G90)))</x:f>
        <x:v>238</x:v>
      </x:c>
      <x:c r="R38" s="1" t="n">
        <x:f>IF('Setup'!$B$22&gt;0,"",IF(C38=0,0,MAX(0,ROUNDUP(F38/'Capacity'!X91-'Capacity'!Y91,0)-'Capacity'!G91)))</x:f>
        <x:v>200</x:v>
      </x:c>
      <x:c r="S38" s="1" t="n">
        <x:f>IF('Setup'!$B$22&gt;0,"",IF(C38=0,0,MAX(0,ROUNDUP(F38/'Capacity'!X92-'Capacity'!Y92,0)-'Capacity'!G92)))</x:f>
        <x:v>121</x:v>
      </x:c>
      <x:c r="T38" s="1" t="str">
        <x:f>IF('Setup'!$B$22&gt;0,"",IF(C38=0,IF(L38&gt;'Setup'!$B$7,"Backlog on closed day","Closed"),IF(OR(V38&gt;0,W38&gt;0),"Resolve staffing limits",IF(U38&gt;0,"Resolve physical limit",IF(L38&gt;'Setup'!$B$7,"Close labor capacity gap",IF(L38&gt;0,"Backlog below threshold","Within daily capacity"))))))</x:f>
        <x:v>Resolve physical limit</x:v>
      </x:c>
      <x:c r="U38" s="1" t="n">
        <x:f>IF('Setup'!$B$22&gt;0,"",IF(C38=0,0,MAX(0,F38-INT(MIN('Capacity'!M90:M92)))))</x:f>
        <x:v>69945</x:v>
      </x:c>
      <x:c r="V38" s="1" t="n">
        <x:f>IF('Setup'!$B$22&gt;0,"",SUM('Capacity'!T90:T92)*C38)</x:f>
        <x:v>0</x:v>
      </x:c>
      <x:c r="W38" s="1" t="n">
        <x:f>IF('Setup'!$B$22&gt;0,"",SUM('Capacity'!W90:W92)*C38)</x:f>
        <x:v>0</x:v>
      </x:c>
    </x:row>
    <x:row r="39" ht="23" customHeight="1">
      <x:c r="A39" s="20" t="n">
        <x:f>IF('Setup'!$B$22&gt;0,"",'Demand'!A39)</x:f>
        <x:v>46333</x:v>
      </x:c>
      <x:c r="B39" s="1" t="n">
        <x:f>IF('Setup'!$B$22&gt;0,"",'Demand'!B39)</x:f>
        <x:v>5</x:v>
      </x:c>
      <x:c r="C39" s="1" t="n">
        <x:f>IF('Setup'!$B$22&gt;0,"",'Demand'!C39)</x:f>
        <x:v>0</x:v>
      </x:c>
      <x:c r="D39" s="24" t="n">
        <x:f>IF('Setup'!$B$22&gt;0,"",ROUND('Demand'!D39*'Setup'!B19,0))</x:f>
        <x:v>0</x:v>
      </x:c>
      <x:c r="E39" s="24" t="n">
        <x:f>IF('Setup'!$B$22&gt;0,"",L38)</x:f>
        <x:v>69945</x:v>
      </x:c>
      <x:c r="F39" s="24" t="n">
        <x:f>IF('Setup'!$B$22&gt;0,"",D39+E39)</x:f>
        <x:v>69945</x:v>
      </x:c>
      <x:c r="G39" s="24" t="n">
        <x:f>IF('Setup'!$B$22&gt;0,"",'Capacity'!N90*C39)</x:f>
        <x:v>0</x:v>
      </x:c>
      <x:c r="H39" s="24" t="n">
        <x:f>IF('Setup'!$B$22&gt;0,"",'Capacity'!N91*C39)</x:f>
        <x:v>0</x:v>
      </x:c>
      <x:c r="I39" s="24" t="n">
        <x:f>IF('Setup'!$B$22&gt;0,"",'Capacity'!N92*C39)</x:f>
        <x:v>0</x:v>
      </x:c>
      <x:c r="J39" s="24" t="n">
        <x:f>IF('Setup'!$B$22&gt;0,"",MIN(G39:I39))</x:f>
        <x:v>0</x:v>
      </x:c>
      <x:c r="K39" s="24" t="n">
        <x:f>IF('Setup'!$B$22&gt;0,"",MIN(F39,J39))</x:f>
        <x:v>0</x:v>
      </x:c>
      <x:c r="L39" s="24" t="n">
        <x:f>IF('Setup'!$B$22&gt;0,"",MAX(0,F39-K39))</x:f>
        <x:v>69945</x:v>
      </x:c>
      <x:c r="M39" s="23" t="n">
        <x:f>IF('Setup'!$B$22&gt;0,"",IF(J39=0,0,K39/J39))</x:f>
        <x:v>0</x:v>
      </x:c>
      <x:c r="N39" s="25" t="n">
        <x:f>IF('Setup'!$B$22&gt;0,"",SUM('Capacity'!Z90:Z92)*C39)</x:f>
        <x:v>0</x:v>
      </x:c>
      <x:c r="O39" s="25" t="n">
        <x:f>IF('Setup'!$B$22&gt;0,"",SUM('Capacity'!Q90:Q92)*C39)</x:f>
        <x:v>0</x:v>
      </x:c>
      <x:c r="P39" s="1" t="str">
        <x:f>IF('Setup'!$B$22&gt;0,"",IF(C39=0,"Closed",INDEX('Processes'!$A$6:$A$8,MATCH(J39,G39:I39,0))))</x:f>
        <x:v>Closed</x:v>
      </x:c>
      <x:c r="Q39" s="1" t="n">
        <x:f>IF('Setup'!$B$22&gt;0,"",IF(C39=0,0,MAX(0,ROUNDUP(F39/'Capacity'!X90-'Capacity'!Y90,0)-'Capacity'!G90)))</x:f>
        <x:v>0</x:v>
      </x:c>
      <x:c r="R39" s="1" t="n">
        <x:f>IF('Setup'!$B$22&gt;0,"",IF(C39=0,0,MAX(0,ROUNDUP(F39/'Capacity'!X91-'Capacity'!Y91,0)-'Capacity'!G91)))</x:f>
        <x:v>0</x:v>
      </x:c>
      <x:c r="S39" s="1" t="n">
        <x:f>IF('Setup'!$B$22&gt;0,"",IF(C39=0,0,MAX(0,ROUNDUP(F39/'Capacity'!X92-'Capacity'!Y92,0)-'Capacity'!G92)))</x:f>
        <x:v>0</x:v>
      </x:c>
      <x:c r="T39" s="1" t="str">
        <x:f>IF('Setup'!$B$22&gt;0,"",IF(C39=0,IF(L39&gt;'Setup'!$B$7,"Backlog on closed day","Closed"),IF(OR(V39&gt;0,W39&gt;0),"Resolve staffing limits",IF(U39&gt;0,"Resolve physical limit",IF(L39&gt;'Setup'!$B$7,"Close labor capacity gap",IF(L39&gt;0,"Backlog below threshold","Within daily capacity"))))))</x:f>
        <x:v>Backlog on closed day</x:v>
      </x:c>
      <x:c r="U39" s="1" t="n">
        <x:f>IF('Setup'!$B$22&gt;0,"",IF(C39=0,0,MAX(0,F39-INT(MIN('Capacity'!M90:M92)))))</x:f>
        <x:v>0</x:v>
      </x:c>
      <x:c r="V39" s="1" t="n">
        <x:f>IF('Setup'!$B$22&gt;0,"",SUM('Capacity'!T90:T92)*C39)</x:f>
        <x:v>0</x:v>
      </x:c>
      <x:c r="W39" s="1" t="n">
        <x:f>IF('Setup'!$B$22&gt;0,"",SUM('Capacity'!W90:W92)*C39)</x:f>
        <x:v>0</x:v>
      </x:c>
    </x:row>
    <x:row r="40" ht="23" customHeight="1">
      <x:c r="A40" s="20" t="n">
        <x:f>IF('Setup'!$B$22&gt;0,"",'Demand'!A40)</x:f>
        <x:v>46334</x:v>
      </x:c>
      <x:c r="B40" s="1" t="n">
        <x:f>IF('Setup'!$B$22&gt;0,"",'Demand'!B40)</x:f>
        <x:v>5</x:v>
      </x:c>
      <x:c r="C40" s="1" t="n">
        <x:f>IF('Setup'!$B$22&gt;0,"",'Demand'!C40)</x:f>
        <x:v>0</x:v>
      </x:c>
      <x:c r="D40" s="24" t="n">
        <x:f>IF('Setup'!$B$22&gt;0,"",ROUND('Demand'!D40*'Setup'!B19,0))</x:f>
        <x:v>0</x:v>
      </x:c>
      <x:c r="E40" s="24" t="n">
        <x:f>IF('Setup'!$B$22&gt;0,"",L39)</x:f>
        <x:v>69945</x:v>
      </x:c>
      <x:c r="F40" s="24" t="n">
        <x:f>IF('Setup'!$B$22&gt;0,"",D40+E40)</x:f>
        <x:v>69945</x:v>
      </x:c>
      <x:c r="G40" s="24" t="n">
        <x:f>IF('Setup'!$B$22&gt;0,"",'Capacity'!N90*C40)</x:f>
        <x:v>0</x:v>
      </x:c>
      <x:c r="H40" s="24" t="n">
        <x:f>IF('Setup'!$B$22&gt;0,"",'Capacity'!N91*C40)</x:f>
        <x:v>0</x:v>
      </x:c>
      <x:c r="I40" s="24" t="n">
        <x:f>IF('Setup'!$B$22&gt;0,"",'Capacity'!N92*C40)</x:f>
        <x:v>0</x:v>
      </x:c>
      <x:c r="J40" s="24" t="n">
        <x:f>IF('Setup'!$B$22&gt;0,"",MIN(G40:I40))</x:f>
        <x:v>0</x:v>
      </x:c>
      <x:c r="K40" s="24" t="n">
        <x:f>IF('Setup'!$B$22&gt;0,"",MIN(F40,J40))</x:f>
        <x:v>0</x:v>
      </x:c>
      <x:c r="L40" s="24" t="n">
        <x:f>IF('Setup'!$B$22&gt;0,"",MAX(0,F40-K40))</x:f>
        <x:v>69945</x:v>
      </x:c>
      <x:c r="M40" s="23" t="n">
        <x:f>IF('Setup'!$B$22&gt;0,"",IF(J40=0,0,K40/J40))</x:f>
        <x:v>0</x:v>
      </x:c>
      <x:c r="N40" s="25" t="n">
        <x:f>IF('Setup'!$B$22&gt;0,"",SUM('Capacity'!Z90:Z92)*C40)</x:f>
        <x:v>0</x:v>
      </x:c>
      <x:c r="O40" s="25" t="n">
        <x:f>IF('Setup'!$B$22&gt;0,"",SUM('Capacity'!Q90:Q92)*C40)</x:f>
        <x:v>0</x:v>
      </x:c>
      <x:c r="P40" s="1" t="str">
        <x:f>IF('Setup'!$B$22&gt;0,"",IF(C40=0,"Closed",INDEX('Processes'!$A$6:$A$8,MATCH(J40,G40:I40,0))))</x:f>
        <x:v>Closed</x:v>
      </x:c>
      <x:c r="Q40" s="1" t="n">
        <x:f>IF('Setup'!$B$22&gt;0,"",IF(C40=0,0,MAX(0,ROUNDUP(F40/'Capacity'!X90-'Capacity'!Y90,0)-'Capacity'!G90)))</x:f>
        <x:v>0</x:v>
      </x:c>
      <x:c r="R40" s="1" t="n">
        <x:f>IF('Setup'!$B$22&gt;0,"",IF(C40=0,0,MAX(0,ROUNDUP(F40/'Capacity'!X91-'Capacity'!Y91,0)-'Capacity'!G91)))</x:f>
        <x:v>0</x:v>
      </x:c>
      <x:c r="S40" s="1" t="n">
        <x:f>IF('Setup'!$B$22&gt;0,"",IF(C40=0,0,MAX(0,ROUNDUP(F40/'Capacity'!X92-'Capacity'!Y92,0)-'Capacity'!G92)))</x:f>
        <x:v>0</x:v>
      </x:c>
      <x:c r="T40" s="1" t="str">
        <x:f>IF('Setup'!$B$22&gt;0,"",IF(C40=0,IF(L40&gt;'Setup'!$B$7,"Backlog on closed day","Closed"),IF(OR(V40&gt;0,W40&gt;0),"Resolve staffing limits",IF(U40&gt;0,"Resolve physical limit",IF(L40&gt;'Setup'!$B$7,"Close labor capacity gap",IF(L40&gt;0,"Backlog below threshold","Within daily capacity"))))))</x:f>
        <x:v>Backlog on closed day</x:v>
      </x:c>
      <x:c r="U40" s="1" t="n">
        <x:f>IF('Setup'!$B$22&gt;0,"",IF(C40=0,0,MAX(0,F40-INT(MIN('Capacity'!M90:M92)))))</x:f>
        <x:v>0</x:v>
      </x:c>
      <x:c r="V40" s="1" t="n">
        <x:f>IF('Setup'!$B$22&gt;0,"",SUM('Capacity'!T90:T92)*C40)</x:f>
        <x:v>0</x:v>
      </x:c>
      <x:c r="W40" s="1" t="n">
        <x:f>IF('Setup'!$B$22&gt;0,"",SUM('Capacity'!W90:W92)*C40)</x:f>
        <x:v>0</x:v>
      </x:c>
    </x:row>
    <x:row r="41" ht="23" customHeight="1">
      <x:c r="A41" s="20" t="n">
        <x:f>IF('Setup'!$B$22&gt;0,"",'Demand'!A41)</x:f>
        <x:v>46335</x:v>
      </x:c>
      <x:c r="B41" s="1" t="n">
        <x:f>IF('Setup'!$B$22&gt;0,"",'Demand'!B41)</x:f>
        <x:v>6</x:v>
      </x:c>
      <x:c r="C41" s="1" t="n">
        <x:f>IF('Setup'!$B$22&gt;0,"",'Demand'!C41)</x:f>
        <x:v>1</x:v>
      </x:c>
      <x:c r="D41" s="24" t="n">
        <x:f>IF('Setup'!$B$22&gt;0,"",ROUND('Demand'!D41*'Setup'!B19,0))</x:f>
        <x:v>12100</x:v>
      </x:c>
      <x:c r="E41" s="24" t="n">
        <x:f>IF('Setup'!$B$22&gt;0,"",L40)</x:f>
        <x:v>69945</x:v>
      </x:c>
      <x:c r="F41" s="24" t="n">
        <x:f>IF('Setup'!$B$22&gt;0,"",D41+E41)</x:f>
        <x:v>82045</x:v>
      </x:c>
      <x:c r="G41" s="24" t="n">
        <x:f>IF('Setup'!$B$22&gt;0,"",'Capacity'!N93*C41)</x:f>
        <x:v>7995</x:v>
      </x:c>
      <x:c r="H41" s="24" t="n">
        <x:f>IF('Setup'!$B$22&gt;0,"",'Capacity'!N94*C41)</x:f>
        <x:v>7509</x:v>
      </x:c>
      <x:c r="I41" s="24" t="n">
        <x:f>IF('Setup'!$B$22&gt;0,"",'Capacity'!N95*C41)</x:f>
        <x:v>6800</x:v>
      </x:c>
      <x:c r="J41" s="24" t="n">
        <x:f>IF('Setup'!$B$22&gt;0,"",MIN(G41:I41))</x:f>
        <x:v>6800</x:v>
      </x:c>
      <x:c r="K41" s="24" t="n">
        <x:f>IF('Setup'!$B$22&gt;0,"",MIN(F41,J41))</x:f>
        <x:v>6800</x:v>
      </x:c>
      <x:c r="L41" s="24" t="n">
        <x:f>IF('Setup'!$B$22&gt;0,"",MAX(0,F41-K41))</x:f>
        <x:v>75245</x:v>
      </x:c>
      <x:c r="M41" s="23" t="n">
        <x:f>IF('Setup'!$B$22&gt;0,"",IF(J41=0,0,K41/J41))</x:f>
        <x:v>1</x:v>
      </x:c>
      <x:c r="N41" s="25" t="n">
        <x:f>IF('Setup'!$B$22&gt;0,"",SUM('Capacity'!Z93:Z95)*C41)</x:f>
        <x:v>12711.57</x:v>
      </x:c>
      <x:c r="O41" s="25" t="n">
        <x:f>IF('Setup'!$B$22&gt;0,"",SUM('Capacity'!Q93:Q95)*C41)</x:f>
        <x:v>3886.29</x:v>
      </x:c>
      <x:c r="P41" s="1" t="str">
        <x:f>IF('Setup'!$B$22&gt;0,"",IF(C41=0,"Closed",INDEX('Processes'!$A$6:$A$8,MATCH(J41,G41:I41,0))))</x:f>
        <x:v>Ship</x:v>
      </x:c>
      <x:c r="Q41" s="1" t="n">
        <x:f>IF('Setup'!$B$22&gt;0,"",IF(C41=0,0,MAX(0,ROUNDUP(F41/'Capacity'!X93-'Capacity'!Y93,0)-'Capacity'!G93)))</x:f>
        <x:v>256</x:v>
      </x:c>
      <x:c r="R41" s="1" t="n">
        <x:f>IF('Setup'!$B$22&gt;0,"",IF(C41=0,0,MAX(0,ROUNDUP(F41/'Capacity'!X94-'Capacity'!Y94,0)-'Capacity'!G94)))</x:f>
        <x:v>215</x:v>
      </x:c>
      <x:c r="S41" s="1" t="n">
        <x:f>IF('Setup'!$B$22&gt;0,"",IF(C41=0,0,MAX(0,ROUNDUP(F41/'Capacity'!X95-'Capacity'!Y95,0)-'Capacity'!G95)))</x:f>
        <x:v>129</x:v>
      </x:c>
      <x:c r="T41" s="1" t="str">
        <x:f>IF('Setup'!$B$22&gt;0,"",IF(C41=0,IF(L41&gt;'Setup'!$B$7,"Backlog on closed day","Closed"),IF(OR(V41&gt;0,W41&gt;0),"Resolve staffing limits",IF(U41&gt;0,"Resolve physical limit",IF(L41&gt;'Setup'!$B$7,"Close labor capacity gap",IF(L41&gt;0,"Backlog below threshold","Within daily capacity"))))))</x:f>
        <x:v>Resolve physical limit</x:v>
      </x:c>
      <x:c r="U41" s="1" t="n">
        <x:f>IF('Setup'!$B$22&gt;0,"",IF(C41=0,0,MAX(0,F41-INT(MIN('Capacity'!M93:M95)))))</x:f>
        <x:v>75245</x:v>
      </x:c>
      <x:c r="V41" s="1" t="n">
        <x:f>IF('Setup'!$B$22&gt;0,"",SUM('Capacity'!T93:T95)*C41)</x:f>
        <x:v>0</x:v>
      </x:c>
      <x:c r="W41" s="1" t="n">
        <x:f>IF('Setup'!$B$22&gt;0,"",SUM('Capacity'!W93:W95)*C41)</x:f>
        <x:v>0</x:v>
      </x:c>
    </x:row>
    <x:row r="42" ht="23" customHeight="1">
      <x:c r="A42" s="20" t="n">
        <x:f>IF('Setup'!$B$22&gt;0,"",'Demand'!A42)</x:f>
        <x:v>46336</x:v>
      </x:c>
      <x:c r="B42" s="1" t="n">
        <x:f>IF('Setup'!$B$22&gt;0,"",'Demand'!B42)</x:f>
        <x:v>6</x:v>
      </x:c>
      <x:c r="C42" s="1" t="n">
        <x:f>IF('Setup'!$B$22&gt;0,"",'Demand'!C42)</x:f>
        <x:v>1</x:v>
      </x:c>
      <x:c r="D42" s="24" t="n">
        <x:f>IF('Setup'!$B$22&gt;0,"",ROUND('Demand'!D42*'Setup'!B19,0))</x:f>
        <x:v>12100</x:v>
      </x:c>
      <x:c r="E42" s="24" t="n">
        <x:f>IF('Setup'!$B$22&gt;0,"",L41)</x:f>
        <x:v>75245</x:v>
      </x:c>
      <x:c r="F42" s="24" t="n">
        <x:f>IF('Setup'!$B$22&gt;0,"",D42+E42)</x:f>
        <x:v>87345</x:v>
      </x:c>
      <x:c r="G42" s="24" t="n">
        <x:f>IF('Setup'!$B$22&gt;0,"",'Capacity'!N93*C42)</x:f>
        <x:v>7995</x:v>
      </x:c>
      <x:c r="H42" s="24" t="n">
        <x:f>IF('Setup'!$B$22&gt;0,"",'Capacity'!N94*C42)</x:f>
        <x:v>7509</x:v>
      </x:c>
      <x:c r="I42" s="24" t="n">
        <x:f>IF('Setup'!$B$22&gt;0,"",'Capacity'!N95*C42)</x:f>
        <x:v>6800</x:v>
      </x:c>
      <x:c r="J42" s="24" t="n">
        <x:f>IF('Setup'!$B$22&gt;0,"",MIN(G42:I42))</x:f>
        <x:v>6800</x:v>
      </x:c>
      <x:c r="K42" s="24" t="n">
        <x:f>IF('Setup'!$B$22&gt;0,"",MIN(F42,J42))</x:f>
        <x:v>6800</x:v>
      </x:c>
      <x:c r="L42" s="24" t="n">
        <x:f>IF('Setup'!$B$22&gt;0,"",MAX(0,F42-K42))</x:f>
        <x:v>80545</x:v>
      </x:c>
      <x:c r="M42" s="23" t="n">
        <x:f>IF('Setup'!$B$22&gt;0,"",IF(J42=0,0,K42/J42))</x:f>
        <x:v>1</x:v>
      </x:c>
      <x:c r="N42" s="25" t="n">
        <x:f>IF('Setup'!$B$22&gt;0,"",SUM('Capacity'!Z93:Z95)*C42)</x:f>
        <x:v>12711.57</x:v>
      </x:c>
      <x:c r="O42" s="25" t="n">
        <x:f>IF('Setup'!$B$22&gt;0,"",SUM('Capacity'!Q93:Q95)*C42)</x:f>
        <x:v>3886.29</x:v>
      </x:c>
      <x:c r="P42" s="1" t="str">
        <x:f>IF('Setup'!$B$22&gt;0,"",IF(C42=0,"Closed",INDEX('Processes'!$A$6:$A$8,MATCH(J42,G42:I42,0))))</x:f>
        <x:v>Ship</x:v>
      </x:c>
      <x:c r="Q42" s="1" t="n">
        <x:f>IF('Setup'!$B$22&gt;0,"",IF(C42=0,0,MAX(0,ROUNDUP(F42/'Capacity'!X93-'Capacity'!Y93,0)-'Capacity'!G93)))</x:f>
        <x:v>274</x:v>
      </x:c>
      <x:c r="R42" s="1" t="n">
        <x:f>IF('Setup'!$B$22&gt;0,"",IF(C42=0,0,MAX(0,ROUNDUP(F42/'Capacity'!X94-'Capacity'!Y94,0)-'Capacity'!G94)))</x:f>
        <x:v>230</x:v>
      </x:c>
      <x:c r="S42" s="1" t="n">
        <x:f>IF('Setup'!$B$22&gt;0,"",IF(C42=0,0,MAX(0,ROUNDUP(F42/'Capacity'!X95-'Capacity'!Y95,0)-'Capacity'!G95)))</x:f>
        <x:v>139</x:v>
      </x:c>
      <x:c r="T42" s="1" t="str">
        <x:f>IF('Setup'!$B$22&gt;0,"",IF(C42=0,IF(L42&gt;'Setup'!$B$7,"Backlog on closed day","Closed"),IF(OR(V42&gt;0,W42&gt;0),"Resolve staffing limits",IF(U42&gt;0,"Resolve physical limit",IF(L42&gt;'Setup'!$B$7,"Close labor capacity gap",IF(L42&gt;0,"Backlog below threshold","Within daily capacity"))))))</x:f>
        <x:v>Resolve physical limit</x:v>
      </x:c>
      <x:c r="U42" s="1" t="n">
        <x:f>IF('Setup'!$B$22&gt;0,"",IF(C42=0,0,MAX(0,F42-INT(MIN('Capacity'!M93:M95)))))</x:f>
        <x:v>80545</x:v>
      </x:c>
      <x:c r="V42" s="1" t="n">
        <x:f>IF('Setup'!$B$22&gt;0,"",SUM('Capacity'!T93:T95)*C42)</x:f>
        <x:v>0</x:v>
      </x:c>
      <x:c r="W42" s="1" t="n">
        <x:f>IF('Setup'!$B$22&gt;0,"",SUM('Capacity'!W93:W95)*C42)</x:f>
        <x:v>0</x:v>
      </x:c>
    </x:row>
    <x:row r="43" ht="23" customHeight="1">
      <x:c r="A43" s="20" t="n">
        <x:f>IF('Setup'!$B$22&gt;0,"",'Demand'!A43)</x:f>
        <x:v>46337</x:v>
      </x:c>
      <x:c r="B43" s="1" t="n">
        <x:f>IF('Setup'!$B$22&gt;0,"",'Demand'!B43)</x:f>
        <x:v>6</x:v>
      </x:c>
      <x:c r="C43" s="1" t="n">
        <x:f>IF('Setup'!$B$22&gt;0,"",'Demand'!C43)</x:f>
        <x:v>1</x:v>
      </x:c>
      <x:c r="D43" s="24" t="n">
        <x:f>IF('Setup'!$B$22&gt;0,"",ROUND('Demand'!D43*'Setup'!B19,0))</x:f>
        <x:v>12100</x:v>
      </x:c>
      <x:c r="E43" s="24" t="n">
        <x:f>IF('Setup'!$B$22&gt;0,"",L42)</x:f>
        <x:v>80545</x:v>
      </x:c>
      <x:c r="F43" s="24" t="n">
        <x:f>IF('Setup'!$B$22&gt;0,"",D43+E43)</x:f>
        <x:v>92645</x:v>
      </x:c>
      <x:c r="G43" s="24" t="n">
        <x:f>IF('Setup'!$B$22&gt;0,"",'Capacity'!N93*C43)</x:f>
        <x:v>7995</x:v>
      </x:c>
      <x:c r="H43" s="24" t="n">
        <x:f>IF('Setup'!$B$22&gt;0,"",'Capacity'!N94*C43)</x:f>
        <x:v>7509</x:v>
      </x:c>
      <x:c r="I43" s="24" t="n">
        <x:f>IF('Setup'!$B$22&gt;0,"",'Capacity'!N95*C43)</x:f>
        <x:v>6800</x:v>
      </x:c>
      <x:c r="J43" s="24" t="n">
        <x:f>IF('Setup'!$B$22&gt;0,"",MIN(G43:I43))</x:f>
        <x:v>6800</x:v>
      </x:c>
      <x:c r="K43" s="24" t="n">
        <x:f>IF('Setup'!$B$22&gt;0,"",MIN(F43,J43))</x:f>
        <x:v>6800</x:v>
      </x:c>
      <x:c r="L43" s="24" t="n">
        <x:f>IF('Setup'!$B$22&gt;0,"",MAX(0,F43-K43))</x:f>
        <x:v>85845</x:v>
      </x:c>
      <x:c r="M43" s="23" t="n">
        <x:f>IF('Setup'!$B$22&gt;0,"",IF(J43=0,0,K43/J43))</x:f>
        <x:v>1</x:v>
      </x:c>
      <x:c r="N43" s="25" t="n">
        <x:f>IF('Setup'!$B$22&gt;0,"",SUM('Capacity'!Z93:Z95)*C43)</x:f>
        <x:v>12711.57</x:v>
      </x:c>
      <x:c r="O43" s="25" t="n">
        <x:f>IF('Setup'!$B$22&gt;0,"",SUM('Capacity'!Q93:Q95)*C43)</x:f>
        <x:v>3886.29</x:v>
      </x:c>
      <x:c r="P43" s="1" t="str">
        <x:f>IF('Setup'!$B$22&gt;0,"",IF(C43=0,"Closed",INDEX('Processes'!$A$6:$A$8,MATCH(J43,G43:I43,0))))</x:f>
        <x:v>Ship</x:v>
      </x:c>
      <x:c r="Q43" s="1" t="n">
        <x:f>IF('Setup'!$B$22&gt;0,"",IF(C43=0,0,MAX(0,ROUNDUP(F43/'Capacity'!X93-'Capacity'!Y93,0)-'Capacity'!G93)))</x:f>
        <x:v>293</x:v>
      </x:c>
      <x:c r="R43" s="1" t="n">
        <x:f>IF('Setup'!$B$22&gt;0,"",IF(C43=0,0,MAX(0,ROUNDUP(F43/'Capacity'!X94-'Capacity'!Y94,0)-'Capacity'!G94)))</x:f>
        <x:v>245</x:v>
      </x:c>
      <x:c r="S43" s="1" t="n">
        <x:f>IF('Setup'!$B$22&gt;0,"",IF(C43=0,0,MAX(0,ROUNDUP(F43/'Capacity'!X95-'Capacity'!Y95,0)-'Capacity'!G95)))</x:f>
        <x:v>148</x:v>
      </x:c>
      <x:c r="T43" s="1" t="str">
        <x:f>IF('Setup'!$B$22&gt;0,"",IF(C43=0,IF(L43&gt;'Setup'!$B$7,"Backlog on closed day","Closed"),IF(OR(V43&gt;0,W43&gt;0),"Resolve staffing limits",IF(U43&gt;0,"Resolve physical limit",IF(L43&gt;'Setup'!$B$7,"Close labor capacity gap",IF(L43&gt;0,"Backlog below threshold","Within daily capacity"))))))</x:f>
        <x:v>Resolve physical limit</x:v>
      </x:c>
      <x:c r="U43" s="1" t="n">
        <x:f>IF('Setup'!$B$22&gt;0,"",IF(C43=0,0,MAX(0,F43-INT(MIN('Capacity'!M93:M95)))))</x:f>
        <x:v>85845</x:v>
      </x:c>
      <x:c r="V43" s="1" t="n">
        <x:f>IF('Setup'!$B$22&gt;0,"",SUM('Capacity'!T93:T95)*C43)</x:f>
        <x:v>0</x:v>
      </x:c>
      <x:c r="W43" s="1" t="n">
        <x:f>IF('Setup'!$B$22&gt;0,"",SUM('Capacity'!W93:W95)*C43)</x:f>
        <x:v>0</x:v>
      </x:c>
    </x:row>
    <x:row r="44" ht="23" customHeight="1">
      <x:c r="A44" s="20" t="n">
        <x:f>IF('Setup'!$B$22&gt;0,"",'Demand'!A44)</x:f>
        <x:v>46338</x:v>
      </x:c>
      <x:c r="B44" s="1" t="n">
        <x:f>IF('Setup'!$B$22&gt;0,"",'Demand'!B44)</x:f>
        <x:v>6</x:v>
      </x:c>
      <x:c r="C44" s="1" t="n">
        <x:f>IF('Setup'!$B$22&gt;0,"",'Demand'!C44)</x:f>
        <x:v>1</x:v>
      </x:c>
      <x:c r="D44" s="24" t="n">
        <x:f>IF('Setup'!$B$22&gt;0,"",ROUND('Demand'!D44*'Setup'!B19,0))</x:f>
        <x:v>12100</x:v>
      </x:c>
      <x:c r="E44" s="24" t="n">
        <x:f>IF('Setup'!$B$22&gt;0,"",L43)</x:f>
        <x:v>85845</x:v>
      </x:c>
      <x:c r="F44" s="24" t="n">
        <x:f>IF('Setup'!$B$22&gt;0,"",D44+E44)</x:f>
        <x:v>97945</x:v>
      </x:c>
      <x:c r="G44" s="24" t="n">
        <x:f>IF('Setup'!$B$22&gt;0,"",'Capacity'!N93*C44)</x:f>
        <x:v>7995</x:v>
      </x:c>
      <x:c r="H44" s="24" t="n">
        <x:f>IF('Setup'!$B$22&gt;0,"",'Capacity'!N94*C44)</x:f>
        <x:v>7509</x:v>
      </x:c>
      <x:c r="I44" s="24" t="n">
        <x:f>IF('Setup'!$B$22&gt;0,"",'Capacity'!N95*C44)</x:f>
        <x:v>6800</x:v>
      </x:c>
      <x:c r="J44" s="24" t="n">
        <x:f>IF('Setup'!$B$22&gt;0,"",MIN(G44:I44))</x:f>
        <x:v>6800</x:v>
      </x:c>
      <x:c r="K44" s="24" t="n">
        <x:f>IF('Setup'!$B$22&gt;0,"",MIN(F44,J44))</x:f>
        <x:v>6800</x:v>
      </x:c>
      <x:c r="L44" s="24" t="n">
        <x:f>IF('Setup'!$B$22&gt;0,"",MAX(0,F44-K44))</x:f>
        <x:v>91145</x:v>
      </x:c>
      <x:c r="M44" s="23" t="n">
        <x:f>IF('Setup'!$B$22&gt;0,"",IF(J44=0,0,K44/J44))</x:f>
        <x:v>1</x:v>
      </x:c>
      <x:c r="N44" s="25" t="n">
        <x:f>IF('Setup'!$B$22&gt;0,"",SUM('Capacity'!Z93:Z95)*C44)</x:f>
        <x:v>12711.57</x:v>
      </x:c>
      <x:c r="O44" s="25" t="n">
        <x:f>IF('Setup'!$B$22&gt;0,"",SUM('Capacity'!Q93:Q95)*C44)</x:f>
        <x:v>3886.29</x:v>
      </x:c>
      <x:c r="P44" s="1" t="str">
        <x:f>IF('Setup'!$B$22&gt;0,"",IF(C44=0,"Closed",INDEX('Processes'!$A$6:$A$8,MATCH(J44,G44:I44,0))))</x:f>
        <x:v>Ship</x:v>
      </x:c>
      <x:c r="Q44" s="1" t="n">
        <x:f>IF('Setup'!$B$22&gt;0,"",IF(C44=0,0,MAX(0,ROUNDUP(F44/'Capacity'!X93-'Capacity'!Y93,0)-'Capacity'!G93)))</x:f>
        <x:v>311</x:v>
      </x:c>
      <x:c r="R44" s="1" t="n">
        <x:f>IF('Setup'!$B$22&gt;0,"",IF(C44=0,0,MAX(0,ROUNDUP(F44/'Capacity'!X94-'Capacity'!Y94,0)-'Capacity'!G94)))</x:f>
        <x:v>261</x:v>
      </x:c>
      <x:c r="S44" s="1" t="n">
        <x:f>IF('Setup'!$B$22&gt;0,"",IF(C44=0,0,MAX(0,ROUNDUP(F44/'Capacity'!X95-'Capacity'!Y95,0)-'Capacity'!G95)))</x:f>
        <x:v>157</x:v>
      </x:c>
      <x:c r="T44" s="1" t="str">
        <x:f>IF('Setup'!$B$22&gt;0,"",IF(C44=0,IF(L44&gt;'Setup'!$B$7,"Backlog on closed day","Closed"),IF(OR(V44&gt;0,W44&gt;0),"Resolve staffing limits",IF(U44&gt;0,"Resolve physical limit",IF(L44&gt;'Setup'!$B$7,"Close labor capacity gap",IF(L44&gt;0,"Backlog below threshold","Within daily capacity"))))))</x:f>
        <x:v>Resolve physical limit</x:v>
      </x:c>
      <x:c r="U44" s="1" t="n">
        <x:f>IF('Setup'!$B$22&gt;0,"",IF(C44=0,0,MAX(0,F44-INT(MIN('Capacity'!M93:M95)))))</x:f>
        <x:v>91145</x:v>
      </x:c>
      <x:c r="V44" s="1" t="n">
        <x:f>IF('Setup'!$B$22&gt;0,"",SUM('Capacity'!T93:T95)*C44)</x:f>
        <x:v>0</x:v>
      </x:c>
      <x:c r="W44" s="1" t="n">
        <x:f>IF('Setup'!$B$22&gt;0,"",SUM('Capacity'!W93:W95)*C44)</x:f>
        <x:v>0</x:v>
      </x:c>
    </x:row>
    <x:row r="45" ht="23" customHeight="1">
      <x:c r="A45" s="20" t="n">
        <x:f>IF('Setup'!$B$22&gt;0,"",'Demand'!A45)</x:f>
        <x:v>46339</x:v>
      </x:c>
      <x:c r="B45" s="1" t="n">
        <x:f>IF('Setup'!$B$22&gt;0,"",'Demand'!B45)</x:f>
        <x:v>6</x:v>
      </x:c>
      <x:c r="C45" s="1" t="n">
        <x:f>IF('Setup'!$B$22&gt;0,"",'Demand'!C45)</x:f>
        <x:v>1</x:v>
      </x:c>
      <x:c r="D45" s="24" t="n">
        <x:f>IF('Setup'!$B$22&gt;0,"",ROUND('Demand'!D45*'Setup'!B19,0))</x:f>
        <x:v>12100</x:v>
      </x:c>
      <x:c r="E45" s="24" t="n">
        <x:f>IF('Setup'!$B$22&gt;0,"",L44)</x:f>
        <x:v>91145</x:v>
      </x:c>
      <x:c r="F45" s="24" t="n">
        <x:f>IF('Setup'!$B$22&gt;0,"",D45+E45)</x:f>
        <x:v>103245</x:v>
      </x:c>
      <x:c r="G45" s="24" t="n">
        <x:f>IF('Setup'!$B$22&gt;0,"",'Capacity'!N93*C45)</x:f>
        <x:v>7995</x:v>
      </x:c>
      <x:c r="H45" s="24" t="n">
        <x:f>IF('Setup'!$B$22&gt;0,"",'Capacity'!N94*C45)</x:f>
        <x:v>7509</x:v>
      </x:c>
      <x:c r="I45" s="24" t="n">
        <x:f>IF('Setup'!$B$22&gt;0,"",'Capacity'!N95*C45)</x:f>
        <x:v>6800</x:v>
      </x:c>
      <x:c r="J45" s="24" t="n">
        <x:f>IF('Setup'!$B$22&gt;0,"",MIN(G45:I45))</x:f>
        <x:v>6800</x:v>
      </x:c>
      <x:c r="K45" s="24" t="n">
        <x:f>IF('Setup'!$B$22&gt;0,"",MIN(F45,J45))</x:f>
        <x:v>6800</x:v>
      </x:c>
      <x:c r="L45" s="24" t="n">
        <x:f>IF('Setup'!$B$22&gt;0,"",MAX(0,F45-K45))</x:f>
        <x:v>96445</x:v>
      </x:c>
      <x:c r="M45" s="23" t="n">
        <x:f>IF('Setup'!$B$22&gt;0,"",IF(J45=0,0,K45/J45))</x:f>
        <x:v>1</x:v>
      </x:c>
      <x:c r="N45" s="25" t="n">
        <x:f>IF('Setup'!$B$22&gt;0,"",SUM('Capacity'!Z93:Z95)*C45)</x:f>
        <x:v>12711.57</x:v>
      </x:c>
      <x:c r="O45" s="25" t="n">
        <x:f>IF('Setup'!$B$22&gt;0,"",SUM('Capacity'!Q93:Q95)*C45)</x:f>
        <x:v>3886.29</x:v>
      </x:c>
      <x:c r="P45" s="1" t="str">
        <x:f>IF('Setup'!$B$22&gt;0,"",IF(C45=0,"Closed",INDEX('Processes'!$A$6:$A$8,MATCH(J45,G45:I45,0))))</x:f>
        <x:v>Ship</x:v>
      </x:c>
      <x:c r="Q45" s="1" t="n">
        <x:f>IF('Setup'!$B$22&gt;0,"",IF(C45=0,0,MAX(0,ROUNDUP(F45/'Capacity'!X93-'Capacity'!Y93,0)-'Capacity'!G93)))</x:f>
        <x:v>329</x:v>
      </x:c>
      <x:c r="R45" s="1" t="n">
        <x:f>IF('Setup'!$B$22&gt;0,"",IF(C45=0,0,MAX(0,ROUNDUP(F45/'Capacity'!X94-'Capacity'!Y94,0)-'Capacity'!G94)))</x:f>
        <x:v>276</x:v>
      </x:c>
      <x:c r="S45" s="1" t="n">
        <x:f>IF('Setup'!$B$22&gt;0,"",IF(C45=0,0,MAX(0,ROUNDUP(F45/'Capacity'!X95-'Capacity'!Y95,0)-'Capacity'!G95)))</x:f>
        <x:v>166</x:v>
      </x:c>
      <x:c r="T45" s="1" t="str">
        <x:f>IF('Setup'!$B$22&gt;0,"",IF(C45=0,IF(L45&gt;'Setup'!$B$7,"Backlog on closed day","Closed"),IF(OR(V45&gt;0,W45&gt;0),"Resolve staffing limits",IF(U45&gt;0,"Resolve physical limit",IF(L45&gt;'Setup'!$B$7,"Close labor capacity gap",IF(L45&gt;0,"Backlog below threshold","Within daily capacity"))))))</x:f>
        <x:v>Resolve physical limit</x:v>
      </x:c>
      <x:c r="U45" s="1" t="n">
        <x:f>IF('Setup'!$B$22&gt;0,"",IF(C45=0,0,MAX(0,F45-INT(MIN('Capacity'!M93:M95)))))</x:f>
        <x:v>96445</x:v>
      </x:c>
      <x:c r="V45" s="1" t="n">
        <x:f>IF('Setup'!$B$22&gt;0,"",SUM('Capacity'!T93:T95)*C45)</x:f>
        <x:v>0</x:v>
      </x:c>
      <x:c r="W45" s="1" t="n">
        <x:f>IF('Setup'!$B$22&gt;0,"",SUM('Capacity'!W93:W95)*C45)</x:f>
        <x:v>0</x:v>
      </x:c>
    </x:row>
    <x:row r="46" ht="23" customHeight="1">
      <x:c r="A46" s="20" t="n">
        <x:f>IF('Setup'!$B$22&gt;0,"",'Demand'!A46)</x:f>
        <x:v>46340</x:v>
      </x:c>
      <x:c r="B46" s="1" t="n">
        <x:f>IF('Setup'!$B$22&gt;0,"",'Demand'!B46)</x:f>
        <x:v>6</x:v>
      </x:c>
      <x:c r="C46" s="1" t="n">
        <x:f>IF('Setup'!$B$22&gt;0,"",'Demand'!C46)</x:f>
        <x:v>0</x:v>
      </x:c>
      <x:c r="D46" s="24" t="n">
        <x:f>IF('Setup'!$B$22&gt;0,"",ROUND('Demand'!D46*'Setup'!B19,0))</x:f>
        <x:v>0</x:v>
      </x:c>
      <x:c r="E46" s="24" t="n">
        <x:f>IF('Setup'!$B$22&gt;0,"",L45)</x:f>
        <x:v>96445</x:v>
      </x:c>
      <x:c r="F46" s="24" t="n">
        <x:f>IF('Setup'!$B$22&gt;0,"",D46+E46)</x:f>
        <x:v>96445</x:v>
      </x:c>
      <x:c r="G46" s="24" t="n">
        <x:f>IF('Setup'!$B$22&gt;0,"",'Capacity'!N93*C46)</x:f>
        <x:v>0</x:v>
      </x:c>
      <x:c r="H46" s="24" t="n">
        <x:f>IF('Setup'!$B$22&gt;0,"",'Capacity'!N94*C46)</x:f>
        <x:v>0</x:v>
      </x:c>
      <x:c r="I46" s="24" t="n">
        <x:f>IF('Setup'!$B$22&gt;0,"",'Capacity'!N95*C46)</x:f>
        <x:v>0</x:v>
      </x:c>
      <x:c r="J46" s="24" t="n">
        <x:f>IF('Setup'!$B$22&gt;0,"",MIN(G46:I46))</x:f>
        <x:v>0</x:v>
      </x:c>
      <x:c r="K46" s="24" t="n">
        <x:f>IF('Setup'!$B$22&gt;0,"",MIN(F46,J46))</x:f>
        <x:v>0</x:v>
      </x:c>
      <x:c r="L46" s="24" t="n">
        <x:f>IF('Setup'!$B$22&gt;0,"",MAX(0,F46-K46))</x:f>
        <x:v>96445</x:v>
      </x:c>
      <x:c r="M46" s="23" t="n">
        <x:f>IF('Setup'!$B$22&gt;0,"",IF(J46=0,0,K46/J46))</x:f>
        <x:v>0</x:v>
      </x:c>
      <x:c r="N46" s="25" t="n">
        <x:f>IF('Setup'!$B$22&gt;0,"",SUM('Capacity'!Z93:Z95)*C46)</x:f>
        <x:v>0</x:v>
      </x:c>
      <x:c r="O46" s="25" t="n">
        <x:f>IF('Setup'!$B$22&gt;0,"",SUM('Capacity'!Q93:Q95)*C46)</x:f>
        <x:v>0</x:v>
      </x:c>
      <x:c r="P46" s="1" t="str">
        <x:f>IF('Setup'!$B$22&gt;0,"",IF(C46=0,"Closed",INDEX('Processes'!$A$6:$A$8,MATCH(J46,G46:I46,0))))</x:f>
        <x:v>Closed</x:v>
      </x:c>
      <x:c r="Q46" s="1" t="n">
        <x:f>IF('Setup'!$B$22&gt;0,"",IF(C46=0,0,MAX(0,ROUNDUP(F46/'Capacity'!X93-'Capacity'!Y93,0)-'Capacity'!G93)))</x:f>
        <x:v>0</x:v>
      </x:c>
      <x:c r="R46" s="1" t="n">
        <x:f>IF('Setup'!$B$22&gt;0,"",IF(C46=0,0,MAX(0,ROUNDUP(F46/'Capacity'!X94-'Capacity'!Y94,0)-'Capacity'!G94)))</x:f>
        <x:v>0</x:v>
      </x:c>
      <x:c r="S46" s="1" t="n">
        <x:f>IF('Setup'!$B$22&gt;0,"",IF(C46=0,0,MAX(0,ROUNDUP(F46/'Capacity'!X95-'Capacity'!Y95,0)-'Capacity'!G95)))</x:f>
        <x:v>0</x:v>
      </x:c>
      <x:c r="T46" s="1" t="str">
        <x:f>IF('Setup'!$B$22&gt;0,"",IF(C46=0,IF(L46&gt;'Setup'!$B$7,"Backlog on closed day","Closed"),IF(OR(V46&gt;0,W46&gt;0),"Resolve staffing limits",IF(U46&gt;0,"Resolve physical limit",IF(L46&gt;'Setup'!$B$7,"Close labor capacity gap",IF(L46&gt;0,"Backlog below threshold","Within daily capacity"))))))</x:f>
        <x:v>Backlog on closed day</x:v>
      </x:c>
      <x:c r="U46" s="1" t="n">
        <x:f>IF('Setup'!$B$22&gt;0,"",IF(C46=0,0,MAX(0,F46-INT(MIN('Capacity'!M93:M95)))))</x:f>
        <x:v>0</x:v>
      </x:c>
      <x:c r="V46" s="1" t="n">
        <x:f>IF('Setup'!$B$22&gt;0,"",SUM('Capacity'!T93:T95)*C46)</x:f>
        <x:v>0</x:v>
      </x:c>
      <x:c r="W46" s="1" t="n">
        <x:f>IF('Setup'!$B$22&gt;0,"",SUM('Capacity'!W93:W95)*C46)</x:f>
        <x:v>0</x:v>
      </x:c>
    </x:row>
    <x:row r="47" ht="23" customHeight="1">
      <x:c r="A47" s="20" t="n">
        <x:f>IF('Setup'!$B$22&gt;0,"",'Demand'!A47)</x:f>
        <x:v>46341</x:v>
      </x:c>
      <x:c r="B47" s="1" t="n">
        <x:f>IF('Setup'!$B$22&gt;0,"",'Demand'!B47)</x:f>
        <x:v>6</x:v>
      </x:c>
      <x:c r="C47" s="1" t="n">
        <x:f>IF('Setup'!$B$22&gt;0,"",'Demand'!C47)</x:f>
        <x:v>0</x:v>
      </x:c>
      <x:c r="D47" s="24" t="n">
        <x:f>IF('Setup'!$B$22&gt;0,"",ROUND('Demand'!D47*'Setup'!B19,0))</x:f>
        <x:v>0</x:v>
      </x:c>
      <x:c r="E47" s="24" t="n">
        <x:f>IF('Setup'!$B$22&gt;0,"",L46)</x:f>
        <x:v>96445</x:v>
      </x:c>
      <x:c r="F47" s="24" t="n">
        <x:f>IF('Setup'!$B$22&gt;0,"",D47+E47)</x:f>
        <x:v>96445</x:v>
      </x:c>
      <x:c r="G47" s="24" t="n">
        <x:f>IF('Setup'!$B$22&gt;0,"",'Capacity'!N93*C47)</x:f>
        <x:v>0</x:v>
      </x:c>
      <x:c r="H47" s="24" t="n">
        <x:f>IF('Setup'!$B$22&gt;0,"",'Capacity'!N94*C47)</x:f>
        <x:v>0</x:v>
      </x:c>
      <x:c r="I47" s="24" t="n">
        <x:f>IF('Setup'!$B$22&gt;0,"",'Capacity'!N95*C47)</x:f>
        <x:v>0</x:v>
      </x:c>
      <x:c r="J47" s="24" t="n">
        <x:f>IF('Setup'!$B$22&gt;0,"",MIN(G47:I47))</x:f>
        <x:v>0</x:v>
      </x:c>
      <x:c r="K47" s="24" t="n">
        <x:f>IF('Setup'!$B$22&gt;0,"",MIN(F47,J47))</x:f>
        <x:v>0</x:v>
      </x:c>
      <x:c r="L47" s="24" t="n">
        <x:f>IF('Setup'!$B$22&gt;0,"",MAX(0,F47-K47))</x:f>
        <x:v>96445</x:v>
      </x:c>
      <x:c r="M47" s="23" t="n">
        <x:f>IF('Setup'!$B$22&gt;0,"",IF(J47=0,0,K47/J47))</x:f>
        <x:v>0</x:v>
      </x:c>
      <x:c r="N47" s="25" t="n">
        <x:f>IF('Setup'!$B$22&gt;0,"",SUM('Capacity'!Z93:Z95)*C47)</x:f>
        <x:v>0</x:v>
      </x:c>
      <x:c r="O47" s="25" t="n">
        <x:f>IF('Setup'!$B$22&gt;0,"",SUM('Capacity'!Q93:Q95)*C47)</x:f>
        <x:v>0</x:v>
      </x:c>
      <x:c r="P47" s="1" t="str">
        <x:f>IF('Setup'!$B$22&gt;0,"",IF(C47=0,"Closed",INDEX('Processes'!$A$6:$A$8,MATCH(J47,G47:I47,0))))</x:f>
        <x:v>Closed</x:v>
      </x:c>
      <x:c r="Q47" s="1" t="n">
        <x:f>IF('Setup'!$B$22&gt;0,"",IF(C47=0,0,MAX(0,ROUNDUP(F47/'Capacity'!X93-'Capacity'!Y93,0)-'Capacity'!G93)))</x:f>
        <x:v>0</x:v>
      </x:c>
      <x:c r="R47" s="1" t="n">
        <x:f>IF('Setup'!$B$22&gt;0,"",IF(C47=0,0,MAX(0,ROUNDUP(F47/'Capacity'!X94-'Capacity'!Y94,0)-'Capacity'!G94)))</x:f>
        <x:v>0</x:v>
      </x:c>
      <x:c r="S47" s="1" t="n">
        <x:f>IF('Setup'!$B$22&gt;0,"",IF(C47=0,0,MAX(0,ROUNDUP(F47/'Capacity'!X95-'Capacity'!Y95,0)-'Capacity'!G95)))</x:f>
        <x:v>0</x:v>
      </x:c>
      <x:c r="T47" s="1" t="str">
        <x:f>IF('Setup'!$B$22&gt;0,"",IF(C47=0,IF(L47&gt;'Setup'!$B$7,"Backlog on closed day","Closed"),IF(OR(V47&gt;0,W47&gt;0),"Resolve staffing limits",IF(U47&gt;0,"Resolve physical limit",IF(L47&gt;'Setup'!$B$7,"Close labor capacity gap",IF(L47&gt;0,"Backlog below threshold","Within daily capacity"))))))</x:f>
        <x:v>Backlog on closed day</x:v>
      </x:c>
      <x:c r="U47" s="1" t="n">
        <x:f>IF('Setup'!$B$22&gt;0,"",IF(C47=0,0,MAX(0,F47-INT(MIN('Capacity'!M93:M95)))))</x:f>
        <x:v>0</x:v>
      </x:c>
      <x:c r="V47" s="1" t="n">
        <x:f>IF('Setup'!$B$22&gt;0,"",SUM('Capacity'!T93:T95)*C47)</x:f>
        <x:v>0</x:v>
      </x:c>
      <x:c r="W47" s="1" t="n">
        <x:f>IF('Setup'!$B$22&gt;0,"",SUM('Capacity'!W93:W95)*C47)</x:f>
        <x:v>0</x:v>
      </x:c>
    </x:row>
    <x:row r="48" ht="23" customHeight="1">
      <x:c r="A48" s="20" t="n">
        <x:f>IF('Setup'!$B$22&gt;0,"",'Demand'!A48)</x:f>
        <x:v>46342</x:v>
      </x:c>
      <x:c r="B48" s="1" t="n">
        <x:f>IF('Setup'!$B$22&gt;0,"",'Demand'!B48)</x:f>
        <x:v>7</x:v>
      </x:c>
      <x:c r="C48" s="1" t="n">
        <x:f>IF('Setup'!$B$22&gt;0,"",'Demand'!C48)</x:f>
        <x:v>1</x:v>
      </x:c>
      <x:c r="D48" s="24" t="n">
        <x:f>IF('Setup'!$B$22&gt;0,"",ROUND('Demand'!D48*'Setup'!B19,0))</x:f>
        <x:v>13750</x:v>
      </x:c>
      <x:c r="E48" s="24" t="n">
        <x:f>IF('Setup'!$B$22&gt;0,"",L47)</x:f>
        <x:v>96445</x:v>
      </x:c>
      <x:c r="F48" s="24" t="n">
        <x:f>IF('Setup'!$B$22&gt;0,"",D48+E48)</x:f>
        <x:v>110195</x:v>
      </x:c>
      <x:c r="G48" s="24" t="n">
        <x:f>IF('Setup'!$B$22&gt;0,"",'Capacity'!N96*C48)</x:f>
        <x:v>8111</x:v>
      </x:c>
      <x:c r="H48" s="24" t="n">
        <x:f>IF('Setup'!$B$22&gt;0,"",'Capacity'!N97*C48)</x:f>
        <x:v>7648</x:v>
      </x:c>
      <x:c r="I48" s="24" t="n">
        <x:f>IF('Setup'!$B$22&gt;0,"",'Capacity'!N98*C48)</x:f>
        <x:v>6800</x:v>
      </x:c>
      <x:c r="J48" s="24" t="n">
        <x:f>IF('Setup'!$B$22&gt;0,"",MIN(G48:I48))</x:f>
        <x:v>6800</x:v>
      </x:c>
      <x:c r="K48" s="24" t="n">
        <x:f>IF('Setup'!$B$22&gt;0,"",MIN(F48,J48))</x:f>
        <x:v>6800</x:v>
      </x:c>
      <x:c r="L48" s="24" t="n">
        <x:f>IF('Setup'!$B$22&gt;0,"",MAX(0,F48-K48))</x:f>
        <x:v>103395</x:v>
      </x:c>
      <x:c r="M48" s="23" t="n">
        <x:f>IF('Setup'!$B$22&gt;0,"",IF(J48=0,0,K48/J48))</x:f>
        <x:v>1</x:v>
      </x:c>
      <x:c r="N48" s="25" t="n">
        <x:f>IF('Setup'!$B$22&gt;0,"",SUM('Capacity'!Z96:Z98)*C48)</x:f>
        <x:v>12711.57</x:v>
      </x:c>
      <x:c r="O48" s="25" t="n">
        <x:f>IF('Setup'!$B$22&gt;0,"",SUM('Capacity'!Q96:Q98)*C48)</x:f>
        <x:v>3886.29</x:v>
      </x:c>
      <x:c r="P48" s="1" t="str">
        <x:f>IF('Setup'!$B$22&gt;0,"",IF(C48=0,"Closed",INDEX('Processes'!$A$6:$A$8,MATCH(J48,G48:I48,0))))</x:f>
        <x:v>Ship</x:v>
      </x:c>
      <x:c r="Q48" s="1" t="n">
        <x:f>IF('Setup'!$B$22&gt;0,"",IF(C48=0,0,MAX(0,ROUNDUP(F48/'Capacity'!X96-'Capacity'!Y96,0)-'Capacity'!G96)))</x:f>
        <x:v>353</x:v>
      </x:c>
      <x:c r="R48" s="1" t="n">
        <x:f>IF('Setup'!$B$22&gt;0,"",IF(C48=0,0,MAX(0,ROUNDUP(F48/'Capacity'!X97-'Capacity'!Y97,0)-'Capacity'!G97)))</x:f>
        <x:v>295</x:v>
      </x:c>
      <x:c r="S48" s="1" t="n">
        <x:f>IF('Setup'!$B$22&gt;0,"",IF(C48=0,0,MAX(0,ROUNDUP(F48/'Capacity'!X98-'Capacity'!Y98,0)-'Capacity'!G98)))</x:f>
        <x:v>178</x:v>
      </x:c>
      <x:c r="T48" s="1" t="str">
        <x:f>IF('Setup'!$B$22&gt;0,"",IF(C48=0,IF(L48&gt;'Setup'!$B$7,"Backlog on closed day","Closed"),IF(OR(V48&gt;0,W48&gt;0),"Resolve staffing limits",IF(U48&gt;0,"Resolve physical limit",IF(L48&gt;'Setup'!$B$7,"Close labor capacity gap",IF(L48&gt;0,"Backlog below threshold","Within daily capacity"))))))</x:f>
        <x:v>Resolve physical limit</x:v>
      </x:c>
      <x:c r="U48" s="1" t="n">
        <x:f>IF('Setup'!$B$22&gt;0,"",IF(C48=0,0,MAX(0,F48-INT(MIN('Capacity'!M96:M98)))))</x:f>
        <x:v>103395</x:v>
      </x:c>
      <x:c r="V48" s="1" t="n">
        <x:f>IF('Setup'!$B$22&gt;0,"",SUM('Capacity'!T96:T98)*C48)</x:f>
        <x:v>0</x:v>
      </x:c>
      <x:c r="W48" s="1" t="n">
        <x:f>IF('Setup'!$B$22&gt;0,"",SUM('Capacity'!W96:W98)*C48)</x:f>
        <x:v>0</x:v>
      </x:c>
    </x:row>
    <x:row r="49" ht="23" customHeight="1">
      <x:c r="A49" s="20" t="n">
        <x:f>IF('Setup'!$B$22&gt;0,"",'Demand'!A49)</x:f>
        <x:v>46343</x:v>
      </x:c>
      <x:c r="B49" s="1" t="n">
        <x:f>IF('Setup'!$B$22&gt;0,"",'Demand'!B49)</x:f>
        <x:v>7</x:v>
      </x:c>
      <x:c r="C49" s="1" t="n">
        <x:f>IF('Setup'!$B$22&gt;0,"",'Demand'!C49)</x:f>
        <x:v>1</x:v>
      </x:c>
      <x:c r="D49" s="24" t="n">
        <x:f>IF('Setup'!$B$22&gt;0,"",ROUND('Demand'!D49*'Setup'!B19,0))</x:f>
        <x:v>13750</x:v>
      </x:c>
      <x:c r="E49" s="24" t="n">
        <x:f>IF('Setup'!$B$22&gt;0,"",L48)</x:f>
        <x:v>103395</x:v>
      </x:c>
      <x:c r="F49" s="24" t="n">
        <x:f>IF('Setup'!$B$22&gt;0,"",D49+E49)</x:f>
        <x:v>117145</x:v>
      </x:c>
      <x:c r="G49" s="24" t="n">
        <x:f>IF('Setup'!$B$22&gt;0,"",'Capacity'!N96*C49)</x:f>
        <x:v>8111</x:v>
      </x:c>
      <x:c r="H49" s="24" t="n">
        <x:f>IF('Setup'!$B$22&gt;0,"",'Capacity'!N97*C49)</x:f>
        <x:v>7648</x:v>
      </x:c>
      <x:c r="I49" s="24" t="n">
        <x:f>IF('Setup'!$B$22&gt;0,"",'Capacity'!N98*C49)</x:f>
        <x:v>6800</x:v>
      </x:c>
      <x:c r="J49" s="24" t="n">
        <x:f>IF('Setup'!$B$22&gt;0,"",MIN(G49:I49))</x:f>
        <x:v>6800</x:v>
      </x:c>
      <x:c r="K49" s="24" t="n">
        <x:f>IF('Setup'!$B$22&gt;0,"",MIN(F49,J49))</x:f>
        <x:v>6800</x:v>
      </x:c>
      <x:c r="L49" s="24" t="n">
        <x:f>IF('Setup'!$B$22&gt;0,"",MAX(0,F49-K49))</x:f>
        <x:v>110345</x:v>
      </x:c>
      <x:c r="M49" s="23" t="n">
        <x:f>IF('Setup'!$B$22&gt;0,"",IF(J49=0,0,K49/J49))</x:f>
        <x:v>1</x:v>
      </x:c>
      <x:c r="N49" s="25" t="n">
        <x:f>IF('Setup'!$B$22&gt;0,"",SUM('Capacity'!Z96:Z98)*C49)</x:f>
        <x:v>12711.57</x:v>
      </x:c>
      <x:c r="O49" s="25" t="n">
        <x:f>IF('Setup'!$B$22&gt;0,"",SUM('Capacity'!Q96:Q98)*C49)</x:f>
        <x:v>3886.29</x:v>
      </x:c>
      <x:c r="P49" s="1" t="str">
        <x:f>IF('Setup'!$B$22&gt;0,"",IF(C49=0,"Closed",INDEX('Processes'!$A$6:$A$8,MATCH(J49,G49:I49,0))))</x:f>
        <x:v>Ship</x:v>
      </x:c>
      <x:c r="Q49" s="1" t="n">
        <x:f>IF('Setup'!$B$22&gt;0,"",IF(C49=0,0,MAX(0,ROUNDUP(F49/'Capacity'!X96-'Capacity'!Y96,0)-'Capacity'!G96)))</x:f>
        <x:v>377</x:v>
      </x:c>
      <x:c r="R49" s="1" t="n">
        <x:f>IF('Setup'!$B$22&gt;0,"",IF(C49=0,0,MAX(0,ROUNDUP(F49/'Capacity'!X97-'Capacity'!Y97,0)-'Capacity'!G97)))</x:f>
        <x:v>315</x:v>
      </x:c>
      <x:c r="S49" s="1" t="n">
        <x:f>IF('Setup'!$B$22&gt;0,"",IF(C49=0,0,MAX(0,ROUNDUP(F49/'Capacity'!X98-'Capacity'!Y98,0)-'Capacity'!G98)))</x:f>
        <x:v>190</x:v>
      </x:c>
      <x:c r="T49" s="1" t="str">
        <x:f>IF('Setup'!$B$22&gt;0,"",IF(C49=0,IF(L49&gt;'Setup'!$B$7,"Backlog on closed day","Closed"),IF(OR(V49&gt;0,W49&gt;0),"Resolve staffing limits",IF(U49&gt;0,"Resolve physical limit",IF(L49&gt;'Setup'!$B$7,"Close labor capacity gap",IF(L49&gt;0,"Backlog below threshold","Within daily capacity"))))))</x:f>
        <x:v>Resolve physical limit</x:v>
      </x:c>
      <x:c r="U49" s="1" t="n">
        <x:f>IF('Setup'!$B$22&gt;0,"",IF(C49=0,0,MAX(0,F49-INT(MIN('Capacity'!M96:M98)))))</x:f>
        <x:v>110345</x:v>
      </x:c>
      <x:c r="V49" s="1" t="n">
        <x:f>IF('Setup'!$B$22&gt;0,"",SUM('Capacity'!T96:T98)*C49)</x:f>
        <x:v>0</x:v>
      </x:c>
      <x:c r="W49" s="1" t="n">
        <x:f>IF('Setup'!$B$22&gt;0,"",SUM('Capacity'!W96:W98)*C49)</x:f>
        <x:v>0</x:v>
      </x:c>
    </x:row>
    <x:row r="50" ht="23" customHeight="1">
      <x:c r="A50" s="20" t="n">
        <x:f>IF('Setup'!$B$22&gt;0,"",'Demand'!A50)</x:f>
        <x:v>46344</x:v>
      </x:c>
      <x:c r="B50" s="1" t="n">
        <x:f>IF('Setup'!$B$22&gt;0,"",'Demand'!B50)</x:f>
        <x:v>7</x:v>
      </x:c>
      <x:c r="C50" s="1" t="n">
        <x:f>IF('Setup'!$B$22&gt;0,"",'Demand'!C50)</x:f>
        <x:v>1</x:v>
      </x:c>
      <x:c r="D50" s="24" t="n">
        <x:f>IF('Setup'!$B$22&gt;0,"",ROUND('Demand'!D50*'Setup'!B19,0))</x:f>
        <x:v>13750</x:v>
      </x:c>
      <x:c r="E50" s="24" t="n">
        <x:f>IF('Setup'!$B$22&gt;0,"",L49)</x:f>
        <x:v>110345</x:v>
      </x:c>
      <x:c r="F50" s="24" t="n">
        <x:f>IF('Setup'!$B$22&gt;0,"",D50+E50)</x:f>
        <x:v>124095</x:v>
      </x:c>
      <x:c r="G50" s="24" t="n">
        <x:f>IF('Setup'!$B$22&gt;0,"",'Capacity'!N96*C50)</x:f>
        <x:v>8111</x:v>
      </x:c>
      <x:c r="H50" s="24" t="n">
        <x:f>IF('Setup'!$B$22&gt;0,"",'Capacity'!N97*C50)</x:f>
        <x:v>7648</x:v>
      </x:c>
      <x:c r="I50" s="24" t="n">
        <x:f>IF('Setup'!$B$22&gt;0,"",'Capacity'!N98*C50)</x:f>
        <x:v>6800</x:v>
      </x:c>
      <x:c r="J50" s="24" t="n">
        <x:f>IF('Setup'!$B$22&gt;0,"",MIN(G50:I50))</x:f>
        <x:v>6800</x:v>
      </x:c>
      <x:c r="K50" s="24" t="n">
        <x:f>IF('Setup'!$B$22&gt;0,"",MIN(F50,J50))</x:f>
        <x:v>6800</x:v>
      </x:c>
      <x:c r="L50" s="24" t="n">
        <x:f>IF('Setup'!$B$22&gt;0,"",MAX(0,F50-K50))</x:f>
        <x:v>117295</x:v>
      </x:c>
      <x:c r="M50" s="23" t="n">
        <x:f>IF('Setup'!$B$22&gt;0,"",IF(J50=0,0,K50/J50))</x:f>
        <x:v>1</x:v>
      </x:c>
      <x:c r="N50" s="25" t="n">
        <x:f>IF('Setup'!$B$22&gt;0,"",SUM('Capacity'!Z96:Z98)*C50)</x:f>
        <x:v>12711.57</x:v>
      </x:c>
      <x:c r="O50" s="25" t="n">
        <x:f>IF('Setup'!$B$22&gt;0,"",SUM('Capacity'!Q96:Q98)*C50)</x:f>
        <x:v>3886.29</x:v>
      </x:c>
      <x:c r="P50" s="1" t="str">
        <x:f>IF('Setup'!$B$22&gt;0,"",IF(C50=0,"Closed",INDEX('Processes'!$A$6:$A$8,MATCH(J50,G50:I50,0))))</x:f>
        <x:v>Ship</x:v>
      </x:c>
      <x:c r="Q50" s="1" t="n">
        <x:f>IF('Setup'!$B$22&gt;0,"",IF(C50=0,0,MAX(0,ROUNDUP(F50/'Capacity'!X96-'Capacity'!Y96,0)-'Capacity'!G96)))</x:f>
        <x:v>401</x:v>
      </x:c>
      <x:c r="R50" s="1" t="n">
        <x:f>IF('Setup'!$B$22&gt;0,"",IF(C50=0,0,MAX(0,ROUNDUP(F50/'Capacity'!X97-'Capacity'!Y97,0)-'Capacity'!G97)))</x:f>
        <x:v>335</x:v>
      </x:c>
      <x:c r="S50" s="1" t="n">
        <x:f>IF('Setup'!$B$22&gt;0,"",IF(C50=0,0,MAX(0,ROUNDUP(F50/'Capacity'!X98-'Capacity'!Y98,0)-'Capacity'!G98)))</x:f>
        <x:v>202</x:v>
      </x:c>
      <x:c r="T50" s="1" t="str">
        <x:f>IF('Setup'!$B$22&gt;0,"",IF(C50=0,IF(L50&gt;'Setup'!$B$7,"Backlog on closed day","Closed"),IF(OR(V50&gt;0,W50&gt;0),"Resolve staffing limits",IF(U50&gt;0,"Resolve physical limit",IF(L50&gt;'Setup'!$B$7,"Close labor capacity gap",IF(L50&gt;0,"Backlog below threshold","Within daily capacity"))))))</x:f>
        <x:v>Resolve physical limit</x:v>
      </x:c>
      <x:c r="U50" s="1" t="n">
        <x:f>IF('Setup'!$B$22&gt;0,"",IF(C50=0,0,MAX(0,F50-INT(MIN('Capacity'!M96:M98)))))</x:f>
        <x:v>117295</x:v>
      </x:c>
      <x:c r="V50" s="1" t="n">
        <x:f>IF('Setup'!$B$22&gt;0,"",SUM('Capacity'!T96:T98)*C50)</x:f>
        <x:v>0</x:v>
      </x:c>
      <x:c r="W50" s="1" t="n">
        <x:f>IF('Setup'!$B$22&gt;0,"",SUM('Capacity'!W96:W98)*C50)</x:f>
        <x:v>0</x:v>
      </x:c>
    </x:row>
    <x:row r="51" ht="23" customHeight="1">
      <x:c r="A51" s="20" t="n">
        <x:f>IF('Setup'!$B$22&gt;0,"",'Demand'!A51)</x:f>
        <x:v>46345</x:v>
      </x:c>
      <x:c r="B51" s="1" t="n">
        <x:f>IF('Setup'!$B$22&gt;0,"",'Demand'!B51)</x:f>
        <x:v>7</x:v>
      </x:c>
      <x:c r="C51" s="1" t="n">
        <x:f>IF('Setup'!$B$22&gt;0,"",'Demand'!C51)</x:f>
        <x:v>1</x:v>
      </x:c>
      <x:c r="D51" s="24" t="n">
        <x:f>IF('Setup'!$B$22&gt;0,"",ROUND('Demand'!D51*'Setup'!B19,0))</x:f>
        <x:v>13750</x:v>
      </x:c>
      <x:c r="E51" s="24" t="n">
        <x:f>IF('Setup'!$B$22&gt;0,"",L50)</x:f>
        <x:v>117295</x:v>
      </x:c>
      <x:c r="F51" s="24" t="n">
        <x:f>IF('Setup'!$B$22&gt;0,"",D51+E51)</x:f>
        <x:v>131045</x:v>
      </x:c>
      <x:c r="G51" s="24" t="n">
        <x:f>IF('Setup'!$B$22&gt;0,"",'Capacity'!N96*C51)</x:f>
        <x:v>8111</x:v>
      </x:c>
      <x:c r="H51" s="24" t="n">
        <x:f>IF('Setup'!$B$22&gt;0,"",'Capacity'!N97*C51)</x:f>
        <x:v>7648</x:v>
      </x:c>
      <x:c r="I51" s="24" t="n">
        <x:f>IF('Setup'!$B$22&gt;0,"",'Capacity'!N98*C51)</x:f>
        <x:v>6800</x:v>
      </x:c>
      <x:c r="J51" s="24" t="n">
        <x:f>IF('Setup'!$B$22&gt;0,"",MIN(G51:I51))</x:f>
        <x:v>6800</x:v>
      </x:c>
      <x:c r="K51" s="24" t="n">
        <x:f>IF('Setup'!$B$22&gt;0,"",MIN(F51,J51))</x:f>
        <x:v>6800</x:v>
      </x:c>
      <x:c r="L51" s="24" t="n">
        <x:f>IF('Setup'!$B$22&gt;0,"",MAX(0,F51-K51))</x:f>
        <x:v>124245</x:v>
      </x:c>
      <x:c r="M51" s="23" t="n">
        <x:f>IF('Setup'!$B$22&gt;0,"",IF(J51=0,0,K51/J51))</x:f>
        <x:v>1</x:v>
      </x:c>
      <x:c r="N51" s="25" t="n">
        <x:f>IF('Setup'!$B$22&gt;0,"",SUM('Capacity'!Z96:Z98)*C51)</x:f>
        <x:v>12711.57</x:v>
      </x:c>
      <x:c r="O51" s="25" t="n">
        <x:f>IF('Setup'!$B$22&gt;0,"",SUM('Capacity'!Q96:Q98)*C51)</x:f>
        <x:v>3886.29</x:v>
      </x:c>
      <x:c r="P51" s="1" t="str">
        <x:f>IF('Setup'!$B$22&gt;0,"",IF(C51=0,"Closed",INDEX('Processes'!$A$6:$A$8,MATCH(J51,G51:I51,0))))</x:f>
        <x:v>Ship</x:v>
      </x:c>
      <x:c r="Q51" s="1" t="n">
        <x:f>IF('Setup'!$B$22&gt;0,"",IF(C51=0,0,MAX(0,ROUNDUP(F51/'Capacity'!X96-'Capacity'!Y96,0)-'Capacity'!G96)))</x:f>
        <x:v>425</x:v>
      </x:c>
      <x:c r="R51" s="1" t="n">
        <x:f>IF('Setup'!$B$22&gt;0,"",IF(C51=0,0,MAX(0,ROUNDUP(F51/'Capacity'!X97-'Capacity'!Y97,0)-'Capacity'!G97)))</x:f>
        <x:v>355</x:v>
      </x:c>
      <x:c r="S51" s="1" t="n">
        <x:f>IF('Setup'!$B$22&gt;0,"",IF(C51=0,0,MAX(0,ROUNDUP(F51/'Capacity'!X98-'Capacity'!Y98,0)-'Capacity'!G98)))</x:f>
        <x:v>214</x:v>
      </x:c>
      <x:c r="T51" s="1" t="str">
        <x:f>IF('Setup'!$B$22&gt;0,"",IF(C51=0,IF(L51&gt;'Setup'!$B$7,"Backlog on closed day","Closed"),IF(OR(V51&gt;0,W51&gt;0),"Resolve staffing limits",IF(U51&gt;0,"Resolve physical limit",IF(L51&gt;'Setup'!$B$7,"Close labor capacity gap",IF(L51&gt;0,"Backlog below threshold","Within daily capacity"))))))</x:f>
        <x:v>Resolve physical limit</x:v>
      </x:c>
      <x:c r="U51" s="1" t="n">
        <x:f>IF('Setup'!$B$22&gt;0,"",IF(C51=0,0,MAX(0,F51-INT(MIN('Capacity'!M96:M98)))))</x:f>
        <x:v>124245</x:v>
      </x:c>
      <x:c r="V51" s="1" t="n">
        <x:f>IF('Setup'!$B$22&gt;0,"",SUM('Capacity'!T96:T98)*C51)</x:f>
        <x:v>0</x:v>
      </x:c>
      <x:c r="W51" s="1" t="n">
        <x:f>IF('Setup'!$B$22&gt;0,"",SUM('Capacity'!W96:W98)*C51)</x:f>
        <x:v>0</x:v>
      </x:c>
    </x:row>
    <x:row r="52" ht="23" customHeight="1">
      <x:c r="A52" s="20" t="n">
        <x:f>IF('Setup'!$B$22&gt;0,"",'Demand'!A52)</x:f>
        <x:v>46346</x:v>
      </x:c>
      <x:c r="B52" s="1" t="n">
        <x:f>IF('Setup'!$B$22&gt;0,"",'Demand'!B52)</x:f>
        <x:v>7</x:v>
      </x:c>
      <x:c r="C52" s="1" t="n">
        <x:f>IF('Setup'!$B$22&gt;0,"",'Demand'!C52)</x:f>
        <x:v>1</x:v>
      </x:c>
      <x:c r="D52" s="24" t="n">
        <x:f>IF('Setup'!$B$22&gt;0,"",ROUND('Demand'!D52*'Setup'!B19,0))</x:f>
        <x:v>13750</x:v>
      </x:c>
      <x:c r="E52" s="24" t="n">
        <x:f>IF('Setup'!$B$22&gt;0,"",L51)</x:f>
        <x:v>124245</x:v>
      </x:c>
      <x:c r="F52" s="24" t="n">
        <x:f>IF('Setup'!$B$22&gt;0,"",D52+E52)</x:f>
        <x:v>137995</x:v>
      </x:c>
      <x:c r="G52" s="24" t="n">
        <x:f>IF('Setup'!$B$22&gt;0,"",'Capacity'!N96*C52)</x:f>
        <x:v>8111</x:v>
      </x:c>
      <x:c r="H52" s="24" t="n">
        <x:f>IF('Setup'!$B$22&gt;0,"",'Capacity'!N97*C52)</x:f>
        <x:v>7648</x:v>
      </x:c>
      <x:c r="I52" s="24" t="n">
        <x:f>IF('Setup'!$B$22&gt;0,"",'Capacity'!N98*C52)</x:f>
        <x:v>6800</x:v>
      </x:c>
      <x:c r="J52" s="24" t="n">
        <x:f>IF('Setup'!$B$22&gt;0,"",MIN(G52:I52))</x:f>
        <x:v>6800</x:v>
      </x:c>
      <x:c r="K52" s="24" t="n">
        <x:f>IF('Setup'!$B$22&gt;0,"",MIN(F52,J52))</x:f>
        <x:v>6800</x:v>
      </x:c>
      <x:c r="L52" s="24" t="n">
        <x:f>IF('Setup'!$B$22&gt;0,"",MAX(0,F52-K52))</x:f>
        <x:v>131195</x:v>
      </x:c>
      <x:c r="M52" s="23" t="n">
        <x:f>IF('Setup'!$B$22&gt;0,"",IF(J52=0,0,K52/J52))</x:f>
        <x:v>1</x:v>
      </x:c>
      <x:c r="N52" s="25" t="n">
        <x:f>IF('Setup'!$B$22&gt;0,"",SUM('Capacity'!Z96:Z98)*C52)</x:f>
        <x:v>12711.57</x:v>
      </x:c>
      <x:c r="O52" s="25" t="n">
        <x:f>IF('Setup'!$B$22&gt;0,"",SUM('Capacity'!Q96:Q98)*C52)</x:f>
        <x:v>3886.29</x:v>
      </x:c>
      <x:c r="P52" s="1" t="str">
        <x:f>IF('Setup'!$B$22&gt;0,"",IF(C52=0,"Closed",INDEX('Processes'!$A$6:$A$8,MATCH(J52,G52:I52,0))))</x:f>
        <x:v>Ship</x:v>
      </x:c>
      <x:c r="Q52" s="1" t="n">
        <x:f>IF('Setup'!$B$22&gt;0,"",IF(C52=0,0,MAX(0,ROUNDUP(F52/'Capacity'!X96-'Capacity'!Y96,0)-'Capacity'!G96)))</x:f>
        <x:v>449</x:v>
      </x:c>
      <x:c r="R52" s="1" t="n">
        <x:f>IF('Setup'!$B$22&gt;0,"",IF(C52=0,0,MAX(0,ROUNDUP(F52/'Capacity'!X97-'Capacity'!Y97,0)-'Capacity'!G97)))</x:f>
        <x:v>375</x:v>
      </x:c>
      <x:c r="S52" s="1" t="n">
        <x:f>IF('Setup'!$B$22&gt;0,"",IF(C52=0,0,MAX(0,ROUNDUP(F52/'Capacity'!X98-'Capacity'!Y98,0)-'Capacity'!G98)))</x:f>
        <x:v>226</x:v>
      </x:c>
      <x:c r="T52" s="1" t="str">
        <x:f>IF('Setup'!$B$22&gt;0,"",IF(C52=0,IF(L52&gt;'Setup'!$B$7,"Backlog on closed day","Closed"),IF(OR(V52&gt;0,W52&gt;0),"Resolve staffing limits",IF(U52&gt;0,"Resolve physical limit",IF(L52&gt;'Setup'!$B$7,"Close labor capacity gap",IF(L52&gt;0,"Backlog below threshold","Within daily capacity"))))))</x:f>
        <x:v>Resolve physical limit</x:v>
      </x:c>
      <x:c r="U52" s="1" t="n">
        <x:f>IF('Setup'!$B$22&gt;0,"",IF(C52=0,0,MAX(0,F52-INT(MIN('Capacity'!M96:M98)))))</x:f>
        <x:v>131195</x:v>
      </x:c>
      <x:c r="V52" s="1" t="n">
        <x:f>IF('Setup'!$B$22&gt;0,"",SUM('Capacity'!T96:T98)*C52)</x:f>
        <x:v>0</x:v>
      </x:c>
      <x:c r="W52" s="1" t="n">
        <x:f>IF('Setup'!$B$22&gt;0,"",SUM('Capacity'!W96:W98)*C52)</x:f>
        <x:v>0</x:v>
      </x:c>
    </x:row>
    <x:row r="53" ht="23" customHeight="1">
      <x:c r="A53" s="20" t="n">
        <x:f>IF('Setup'!$B$22&gt;0,"",'Demand'!A53)</x:f>
        <x:v>46347</x:v>
      </x:c>
      <x:c r="B53" s="1" t="n">
        <x:f>IF('Setup'!$B$22&gt;0,"",'Demand'!B53)</x:f>
        <x:v>7</x:v>
      </x:c>
      <x:c r="C53" s="1" t="n">
        <x:f>IF('Setup'!$B$22&gt;0,"",'Demand'!C53)</x:f>
        <x:v>0</x:v>
      </x:c>
      <x:c r="D53" s="24" t="n">
        <x:f>IF('Setup'!$B$22&gt;0,"",ROUND('Demand'!D53*'Setup'!B19,0))</x:f>
        <x:v>0</x:v>
      </x:c>
      <x:c r="E53" s="24" t="n">
        <x:f>IF('Setup'!$B$22&gt;0,"",L52)</x:f>
        <x:v>131195</x:v>
      </x:c>
      <x:c r="F53" s="24" t="n">
        <x:f>IF('Setup'!$B$22&gt;0,"",D53+E53)</x:f>
        <x:v>131195</x:v>
      </x:c>
      <x:c r="G53" s="24" t="n">
        <x:f>IF('Setup'!$B$22&gt;0,"",'Capacity'!N96*C53)</x:f>
        <x:v>0</x:v>
      </x:c>
      <x:c r="H53" s="24" t="n">
        <x:f>IF('Setup'!$B$22&gt;0,"",'Capacity'!N97*C53)</x:f>
        <x:v>0</x:v>
      </x:c>
      <x:c r="I53" s="24" t="n">
        <x:f>IF('Setup'!$B$22&gt;0,"",'Capacity'!N98*C53)</x:f>
        <x:v>0</x:v>
      </x:c>
      <x:c r="J53" s="24" t="n">
        <x:f>IF('Setup'!$B$22&gt;0,"",MIN(G53:I53))</x:f>
        <x:v>0</x:v>
      </x:c>
      <x:c r="K53" s="24" t="n">
        <x:f>IF('Setup'!$B$22&gt;0,"",MIN(F53,J53))</x:f>
        <x:v>0</x:v>
      </x:c>
      <x:c r="L53" s="24" t="n">
        <x:f>IF('Setup'!$B$22&gt;0,"",MAX(0,F53-K53))</x:f>
        <x:v>131195</x:v>
      </x:c>
      <x:c r="M53" s="23" t="n">
        <x:f>IF('Setup'!$B$22&gt;0,"",IF(J53=0,0,K53/J53))</x:f>
        <x:v>0</x:v>
      </x:c>
      <x:c r="N53" s="25" t="n">
        <x:f>IF('Setup'!$B$22&gt;0,"",SUM('Capacity'!Z96:Z98)*C53)</x:f>
        <x:v>0</x:v>
      </x:c>
      <x:c r="O53" s="25" t="n">
        <x:f>IF('Setup'!$B$22&gt;0,"",SUM('Capacity'!Q96:Q98)*C53)</x:f>
        <x:v>0</x:v>
      </x:c>
      <x:c r="P53" s="1" t="str">
        <x:f>IF('Setup'!$B$22&gt;0,"",IF(C53=0,"Closed",INDEX('Processes'!$A$6:$A$8,MATCH(J53,G53:I53,0))))</x:f>
        <x:v>Closed</x:v>
      </x:c>
      <x:c r="Q53" s="1" t="n">
        <x:f>IF('Setup'!$B$22&gt;0,"",IF(C53=0,0,MAX(0,ROUNDUP(F53/'Capacity'!X96-'Capacity'!Y96,0)-'Capacity'!G96)))</x:f>
        <x:v>0</x:v>
      </x:c>
      <x:c r="R53" s="1" t="n">
        <x:f>IF('Setup'!$B$22&gt;0,"",IF(C53=0,0,MAX(0,ROUNDUP(F53/'Capacity'!X97-'Capacity'!Y97,0)-'Capacity'!G97)))</x:f>
        <x:v>0</x:v>
      </x:c>
      <x:c r="S53" s="1" t="n">
        <x:f>IF('Setup'!$B$22&gt;0,"",IF(C53=0,0,MAX(0,ROUNDUP(F53/'Capacity'!X98-'Capacity'!Y98,0)-'Capacity'!G98)))</x:f>
        <x:v>0</x:v>
      </x:c>
      <x:c r="T53" s="1" t="str">
        <x:f>IF('Setup'!$B$22&gt;0,"",IF(C53=0,IF(L53&gt;'Setup'!$B$7,"Backlog on closed day","Closed"),IF(OR(V53&gt;0,W53&gt;0),"Resolve staffing limits",IF(U53&gt;0,"Resolve physical limit",IF(L53&gt;'Setup'!$B$7,"Close labor capacity gap",IF(L53&gt;0,"Backlog below threshold","Within daily capacity"))))))</x:f>
        <x:v>Backlog on closed day</x:v>
      </x:c>
      <x:c r="U53" s="1" t="n">
        <x:f>IF('Setup'!$B$22&gt;0,"",IF(C53=0,0,MAX(0,F53-INT(MIN('Capacity'!M96:M98)))))</x:f>
        <x:v>0</x:v>
      </x:c>
      <x:c r="V53" s="1" t="n">
        <x:f>IF('Setup'!$B$22&gt;0,"",SUM('Capacity'!T96:T98)*C53)</x:f>
        <x:v>0</x:v>
      </x:c>
      <x:c r="W53" s="1" t="n">
        <x:f>IF('Setup'!$B$22&gt;0,"",SUM('Capacity'!W96:W98)*C53)</x:f>
        <x:v>0</x:v>
      </x:c>
    </x:row>
    <x:row r="54" ht="23" customHeight="1">
      <x:c r="A54" s="20" t="n">
        <x:f>IF('Setup'!$B$22&gt;0,"",'Demand'!A54)</x:f>
        <x:v>46348</x:v>
      </x:c>
      <x:c r="B54" s="1" t="n">
        <x:f>IF('Setup'!$B$22&gt;0,"",'Demand'!B54)</x:f>
        <x:v>7</x:v>
      </x:c>
      <x:c r="C54" s="1" t="n">
        <x:f>IF('Setup'!$B$22&gt;0,"",'Demand'!C54)</x:f>
        <x:v>0</x:v>
      </x:c>
      <x:c r="D54" s="24" t="n">
        <x:f>IF('Setup'!$B$22&gt;0,"",ROUND('Demand'!D54*'Setup'!B19,0))</x:f>
        <x:v>0</x:v>
      </x:c>
      <x:c r="E54" s="24" t="n">
        <x:f>IF('Setup'!$B$22&gt;0,"",L53)</x:f>
        <x:v>131195</x:v>
      </x:c>
      <x:c r="F54" s="24" t="n">
        <x:f>IF('Setup'!$B$22&gt;0,"",D54+E54)</x:f>
        <x:v>131195</x:v>
      </x:c>
      <x:c r="G54" s="24" t="n">
        <x:f>IF('Setup'!$B$22&gt;0,"",'Capacity'!N96*C54)</x:f>
        <x:v>0</x:v>
      </x:c>
      <x:c r="H54" s="24" t="n">
        <x:f>IF('Setup'!$B$22&gt;0,"",'Capacity'!N97*C54)</x:f>
        <x:v>0</x:v>
      </x:c>
      <x:c r="I54" s="24" t="n">
        <x:f>IF('Setup'!$B$22&gt;0,"",'Capacity'!N98*C54)</x:f>
        <x:v>0</x:v>
      </x:c>
      <x:c r="J54" s="24" t="n">
        <x:f>IF('Setup'!$B$22&gt;0,"",MIN(G54:I54))</x:f>
        <x:v>0</x:v>
      </x:c>
      <x:c r="K54" s="24" t="n">
        <x:f>IF('Setup'!$B$22&gt;0,"",MIN(F54,J54))</x:f>
        <x:v>0</x:v>
      </x:c>
      <x:c r="L54" s="24" t="n">
        <x:f>IF('Setup'!$B$22&gt;0,"",MAX(0,F54-K54))</x:f>
        <x:v>131195</x:v>
      </x:c>
      <x:c r="M54" s="23" t="n">
        <x:f>IF('Setup'!$B$22&gt;0,"",IF(J54=0,0,K54/J54))</x:f>
        <x:v>0</x:v>
      </x:c>
      <x:c r="N54" s="25" t="n">
        <x:f>IF('Setup'!$B$22&gt;0,"",SUM('Capacity'!Z96:Z98)*C54)</x:f>
        <x:v>0</x:v>
      </x:c>
      <x:c r="O54" s="25" t="n">
        <x:f>IF('Setup'!$B$22&gt;0,"",SUM('Capacity'!Q96:Q98)*C54)</x:f>
        <x:v>0</x:v>
      </x:c>
      <x:c r="P54" s="1" t="str">
        <x:f>IF('Setup'!$B$22&gt;0,"",IF(C54=0,"Closed",INDEX('Processes'!$A$6:$A$8,MATCH(J54,G54:I54,0))))</x:f>
        <x:v>Closed</x:v>
      </x:c>
      <x:c r="Q54" s="1" t="n">
        <x:f>IF('Setup'!$B$22&gt;0,"",IF(C54=0,0,MAX(0,ROUNDUP(F54/'Capacity'!X96-'Capacity'!Y96,0)-'Capacity'!G96)))</x:f>
        <x:v>0</x:v>
      </x:c>
      <x:c r="R54" s="1" t="n">
        <x:f>IF('Setup'!$B$22&gt;0,"",IF(C54=0,0,MAX(0,ROUNDUP(F54/'Capacity'!X97-'Capacity'!Y97,0)-'Capacity'!G97)))</x:f>
        <x:v>0</x:v>
      </x:c>
      <x:c r="S54" s="1" t="n">
        <x:f>IF('Setup'!$B$22&gt;0,"",IF(C54=0,0,MAX(0,ROUNDUP(F54/'Capacity'!X98-'Capacity'!Y98,0)-'Capacity'!G98)))</x:f>
        <x:v>0</x:v>
      </x:c>
      <x:c r="T54" s="1" t="str">
        <x:f>IF('Setup'!$B$22&gt;0,"",IF(C54=0,IF(L54&gt;'Setup'!$B$7,"Backlog on closed day","Closed"),IF(OR(V54&gt;0,W54&gt;0),"Resolve staffing limits",IF(U54&gt;0,"Resolve physical limit",IF(L54&gt;'Setup'!$B$7,"Close labor capacity gap",IF(L54&gt;0,"Backlog below threshold","Within daily capacity"))))))</x:f>
        <x:v>Backlog on closed day</x:v>
      </x:c>
      <x:c r="U54" s="1" t="n">
        <x:f>IF('Setup'!$B$22&gt;0,"",IF(C54=0,0,MAX(0,F54-INT(MIN('Capacity'!M96:M98)))))</x:f>
        <x:v>0</x:v>
      </x:c>
      <x:c r="V54" s="1" t="n">
        <x:f>IF('Setup'!$B$22&gt;0,"",SUM('Capacity'!T96:T98)*C54)</x:f>
        <x:v>0</x:v>
      </x:c>
      <x:c r="W54" s="1" t="n">
        <x:f>IF('Setup'!$B$22&gt;0,"",SUM('Capacity'!W96:W98)*C54)</x:f>
        <x:v>0</x:v>
      </x:c>
    </x:row>
    <x:row r="55" ht="23" customHeight="1">
      <x:c r="A55" s="20" t="n">
        <x:f>IF('Setup'!$B$22&gt;0,"",'Demand'!A55)</x:f>
        <x:v>46349</x:v>
      </x:c>
      <x:c r="B55" s="1" t="n">
        <x:f>IF('Setup'!$B$22&gt;0,"",'Demand'!B55)</x:f>
        <x:v>8</x:v>
      </x:c>
      <x:c r="C55" s="1" t="n">
        <x:f>IF('Setup'!$B$22&gt;0,"",'Demand'!C55)</x:f>
        <x:v>1</x:v>
      </x:c>
      <x:c r="D55" s="24" t="n">
        <x:f>IF('Setup'!$B$22&gt;0,"",ROUND('Demand'!D55*'Setup'!B19,0))</x:f>
        <x:v>15400</x:v>
      </x:c>
      <x:c r="E55" s="24" t="n">
        <x:f>IF('Setup'!$B$22&gt;0,"",L54)</x:f>
        <x:v>131195</x:v>
      </x:c>
      <x:c r="F55" s="24" t="n">
        <x:f>IF('Setup'!$B$22&gt;0,"",D55+E55)</x:f>
        <x:v>146595</x:v>
      </x:c>
      <x:c r="G55" s="24" t="n">
        <x:f>IF('Setup'!$B$22&gt;0,"",'Capacity'!N99*C55)</x:f>
        <x:v>8111</x:v>
      </x:c>
      <x:c r="H55" s="24" t="n">
        <x:f>IF('Setup'!$B$22&gt;0,"",'Capacity'!N100*C55)</x:f>
        <x:v>7648</x:v>
      </x:c>
      <x:c r="I55" s="24" t="n">
        <x:f>IF('Setup'!$B$22&gt;0,"",'Capacity'!N101*C55)</x:f>
        <x:v>6800</x:v>
      </x:c>
      <x:c r="J55" s="24" t="n">
        <x:f>IF('Setup'!$B$22&gt;0,"",MIN(G55:I55))</x:f>
        <x:v>6800</x:v>
      </x:c>
      <x:c r="K55" s="24" t="n">
        <x:f>IF('Setup'!$B$22&gt;0,"",MIN(F55,J55))</x:f>
        <x:v>6800</x:v>
      </x:c>
      <x:c r="L55" s="24" t="n">
        <x:f>IF('Setup'!$B$22&gt;0,"",MAX(0,F55-K55))</x:f>
        <x:v>139795</x:v>
      </x:c>
      <x:c r="M55" s="23" t="n">
        <x:f>IF('Setup'!$B$22&gt;0,"",IF(J55=0,0,K55/J55))</x:f>
        <x:v>1</x:v>
      </x:c>
      <x:c r="N55" s="25" t="n">
        <x:f>IF('Setup'!$B$22&gt;0,"",SUM('Capacity'!Z99:Z101)*C55)</x:f>
        <x:v>12711.57</x:v>
      </x:c>
      <x:c r="O55" s="25" t="n">
        <x:f>IF('Setup'!$B$22&gt;0,"",SUM('Capacity'!Q99:Q101)*C55)</x:f>
        <x:v>3886.29</x:v>
      </x:c>
      <x:c r="P55" s="1" t="str">
        <x:f>IF('Setup'!$B$22&gt;0,"",IF(C55=0,"Closed",INDEX('Processes'!$A$6:$A$8,MATCH(J55,G55:I55,0))))</x:f>
        <x:v>Ship</x:v>
      </x:c>
      <x:c r="Q55" s="1" t="n">
        <x:f>IF('Setup'!$B$22&gt;0,"",IF(C55=0,0,MAX(0,ROUNDUP(F55/'Capacity'!X99-'Capacity'!Y99,0)-'Capacity'!G99)))</x:f>
        <x:v>479</x:v>
      </x:c>
      <x:c r="R55" s="1" t="n">
        <x:f>IF('Setup'!$B$22&gt;0,"",IF(C55=0,0,MAX(0,ROUNDUP(F55/'Capacity'!X100-'Capacity'!Y100,0)-'Capacity'!G100)))</x:f>
        <x:v>400</x:v>
      </x:c>
      <x:c r="S55" s="1" t="n">
        <x:f>IF('Setup'!$B$22&gt;0,"",IF(C55=0,0,MAX(0,ROUNDUP(F55/'Capacity'!X101-'Capacity'!Y101,0)-'Capacity'!G101)))</x:f>
        <x:v>241</x:v>
      </x:c>
      <x:c r="T55" s="1" t="str">
        <x:f>IF('Setup'!$B$22&gt;0,"",IF(C55=0,IF(L55&gt;'Setup'!$B$7,"Backlog on closed day","Closed"),IF(OR(V55&gt;0,W55&gt;0),"Resolve staffing limits",IF(U55&gt;0,"Resolve physical limit",IF(L55&gt;'Setup'!$B$7,"Close labor capacity gap",IF(L55&gt;0,"Backlog below threshold","Within daily capacity"))))))</x:f>
        <x:v>Resolve physical limit</x:v>
      </x:c>
      <x:c r="U55" s="1" t="n">
        <x:f>IF('Setup'!$B$22&gt;0,"",IF(C55=0,0,MAX(0,F55-INT(MIN('Capacity'!M99:M101)))))</x:f>
        <x:v>139795</x:v>
      </x:c>
      <x:c r="V55" s="1" t="n">
        <x:f>IF('Setup'!$B$22&gt;0,"",SUM('Capacity'!T99:T101)*C55)</x:f>
        <x:v>0</x:v>
      </x:c>
      <x:c r="W55" s="1" t="n">
        <x:f>IF('Setup'!$B$22&gt;0,"",SUM('Capacity'!W99:W101)*C55)</x:f>
        <x:v>0</x:v>
      </x:c>
    </x:row>
    <x:row r="56" ht="23" customHeight="1">
      <x:c r="A56" s="20" t="n">
        <x:f>IF('Setup'!$B$22&gt;0,"",'Demand'!A56)</x:f>
        <x:v>46350</x:v>
      </x:c>
      <x:c r="B56" s="1" t="n">
        <x:f>IF('Setup'!$B$22&gt;0,"",'Demand'!B56)</x:f>
        <x:v>8</x:v>
      </x:c>
      <x:c r="C56" s="1" t="n">
        <x:f>IF('Setup'!$B$22&gt;0,"",'Demand'!C56)</x:f>
        <x:v>1</x:v>
      </x:c>
      <x:c r="D56" s="24" t="n">
        <x:f>IF('Setup'!$B$22&gt;0,"",ROUND('Demand'!D56*'Setup'!B19,0))</x:f>
        <x:v>15400</x:v>
      </x:c>
      <x:c r="E56" s="24" t="n">
        <x:f>IF('Setup'!$B$22&gt;0,"",L55)</x:f>
        <x:v>139795</x:v>
      </x:c>
      <x:c r="F56" s="24" t="n">
        <x:f>IF('Setup'!$B$22&gt;0,"",D56+E56)</x:f>
        <x:v>155195</x:v>
      </x:c>
      <x:c r="G56" s="24" t="n">
        <x:f>IF('Setup'!$B$22&gt;0,"",'Capacity'!N99*C56)</x:f>
        <x:v>8111</x:v>
      </x:c>
      <x:c r="H56" s="24" t="n">
        <x:f>IF('Setup'!$B$22&gt;0,"",'Capacity'!N100*C56)</x:f>
        <x:v>7648</x:v>
      </x:c>
      <x:c r="I56" s="24" t="n">
        <x:f>IF('Setup'!$B$22&gt;0,"",'Capacity'!N101*C56)</x:f>
        <x:v>6800</x:v>
      </x:c>
      <x:c r="J56" s="24" t="n">
        <x:f>IF('Setup'!$B$22&gt;0,"",MIN(G56:I56))</x:f>
        <x:v>6800</x:v>
      </x:c>
      <x:c r="K56" s="24" t="n">
        <x:f>IF('Setup'!$B$22&gt;0,"",MIN(F56,J56))</x:f>
        <x:v>6800</x:v>
      </x:c>
      <x:c r="L56" s="24" t="n">
        <x:f>IF('Setup'!$B$22&gt;0,"",MAX(0,F56-K56))</x:f>
        <x:v>148395</x:v>
      </x:c>
      <x:c r="M56" s="23" t="n">
        <x:f>IF('Setup'!$B$22&gt;0,"",IF(J56=0,0,K56/J56))</x:f>
        <x:v>1</x:v>
      </x:c>
      <x:c r="N56" s="25" t="n">
        <x:f>IF('Setup'!$B$22&gt;0,"",SUM('Capacity'!Z99:Z101)*C56)</x:f>
        <x:v>12711.57</x:v>
      </x:c>
      <x:c r="O56" s="25" t="n">
        <x:f>IF('Setup'!$B$22&gt;0,"",SUM('Capacity'!Q99:Q101)*C56)</x:f>
        <x:v>3886.29</x:v>
      </x:c>
      <x:c r="P56" s="1" t="str">
        <x:f>IF('Setup'!$B$22&gt;0,"",IF(C56=0,"Closed",INDEX('Processes'!$A$6:$A$8,MATCH(J56,G56:I56,0))))</x:f>
        <x:v>Ship</x:v>
      </x:c>
      <x:c r="Q56" s="1" t="n">
        <x:f>IF('Setup'!$B$22&gt;0,"",IF(C56=0,0,MAX(0,ROUNDUP(F56/'Capacity'!X99-'Capacity'!Y99,0)-'Capacity'!G99)))</x:f>
        <x:v>508</x:v>
      </x:c>
      <x:c r="R56" s="1" t="n">
        <x:f>IF('Setup'!$B$22&gt;0,"",IF(C56=0,0,MAX(0,ROUNDUP(F56/'Capacity'!X100-'Capacity'!Y100,0)-'Capacity'!G100)))</x:f>
        <x:v>425</x:v>
      </x:c>
      <x:c r="S56" s="1" t="n">
        <x:f>IF('Setup'!$B$22&gt;0,"",IF(C56=0,0,MAX(0,ROUNDUP(F56/'Capacity'!X101-'Capacity'!Y101,0)-'Capacity'!G101)))</x:f>
        <x:v>255</x:v>
      </x:c>
      <x:c r="T56" s="1" t="str">
        <x:f>IF('Setup'!$B$22&gt;0,"",IF(C56=0,IF(L56&gt;'Setup'!$B$7,"Backlog on closed day","Closed"),IF(OR(V56&gt;0,W56&gt;0),"Resolve staffing limits",IF(U56&gt;0,"Resolve physical limit",IF(L56&gt;'Setup'!$B$7,"Close labor capacity gap",IF(L56&gt;0,"Backlog below threshold","Within daily capacity"))))))</x:f>
        <x:v>Resolve physical limit</x:v>
      </x:c>
      <x:c r="U56" s="1" t="n">
        <x:f>IF('Setup'!$B$22&gt;0,"",IF(C56=0,0,MAX(0,F56-INT(MIN('Capacity'!M99:M101)))))</x:f>
        <x:v>148395</x:v>
      </x:c>
      <x:c r="V56" s="1" t="n">
        <x:f>IF('Setup'!$B$22&gt;0,"",SUM('Capacity'!T99:T101)*C56)</x:f>
        <x:v>0</x:v>
      </x:c>
      <x:c r="W56" s="1" t="n">
        <x:f>IF('Setup'!$B$22&gt;0,"",SUM('Capacity'!W99:W101)*C56)</x:f>
        <x:v>0</x:v>
      </x:c>
    </x:row>
    <x:row r="57" ht="23" customHeight="1">
      <x:c r="A57" s="20" t="n">
        <x:f>IF('Setup'!$B$22&gt;0,"",'Demand'!A57)</x:f>
        <x:v>46351</x:v>
      </x:c>
      <x:c r="B57" s="1" t="n">
        <x:f>IF('Setup'!$B$22&gt;0,"",'Demand'!B57)</x:f>
        <x:v>8</x:v>
      </x:c>
      <x:c r="C57" s="1" t="n">
        <x:f>IF('Setup'!$B$22&gt;0,"",'Demand'!C57)</x:f>
        <x:v>1</x:v>
      </x:c>
      <x:c r="D57" s="24" t="n">
        <x:f>IF('Setup'!$B$22&gt;0,"",ROUND('Demand'!D57*'Setup'!B19,0))</x:f>
        <x:v>15400</x:v>
      </x:c>
      <x:c r="E57" s="24" t="n">
        <x:f>IF('Setup'!$B$22&gt;0,"",L56)</x:f>
        <x:v>148395</x:v>
      </x:c>
      <x:c r="F57" s="24" t="n">
        <x:f>IF('Setup'!$B$22&gt;0,"",D57+E57)</x:f>
        <x:v>163795</x:v>
      </x:c>
      <x:c r="G57" s="24" t="n">
        <x:f>IF('Setup'!$B$22&gt;0,"",'Capacity'!N99*C57)</x:f>
        <x:v>8111</x:v>
      </x:c>
      <x:c r="H57" s="24" t="n">
        <x:f>IF('Setup'!$B$22&gt;0,"",'Capacity'!N100*C57)</x:f>
        <x:v>7648</x:v>
      </x:c>
      <x:c r="I57" s="24" t="n">
        <x:f>IF('Setup'!$B$22&gt;0,"",'Capacity'!N101*C57)</x:f>
        <x:v>6800</x:v>
      </x:c>
      <x:c r="J57" s="24" t="n">
        <x:f>IF('Setup'!$B$22&gt;0,"",MIN(G57:I57))</x:f>
        <x:v>6800</x:v>
      </x:c>
      <x:c r="K57" s="24" t="n">
        <x:f>IF('Setup'!$B$22&gt;0,"",MIN(F57,J57))</x:f>
        <x:v>6800</x:v>
      </x:c>
      <x:c r="L57" s="24" t="n">
        <x:f>IF('Setup'!$B$22&gt;0,"",MAX(0,F57-K57))</x:f>
        <x:v>156995</x:v>
      </x:c>
      <x:c r="M57" s="23" t="n">
        <x:f>IF('Setup'!$B$22&gt;0,"",IF(J57=0,0,K57/J57))</x:f>
        <x:v>1</x:v>
      </x:c>
      <x:c r="N57" s="25" t="n">
        <x:f>IF('Setup'!$B$22&gt;0,"",SUM('Capacity'!Z99:Z101)*C57)</x:f>
        <x:v>12711.57</x:v>
      </x:c>
      <x:c r="O57" s="25" t="n">
        <x:f>IF('Setup'!$B$22&gt;0,"",SUM('Capacity'!Q99:Q101)*C57)</x:f>
        <x:v>3886.29</x:v>
      </x:c>
      <x:c r="P57" s="1" t="str">
        <x:f>IF('Setup'!$B$22&gt;0,"",IF(C57=0,"Closed",INDEX('Processes'!$A$6:$A$8,MATCH(J57,G57:I57,0))))</x:f>
        <x:v>Ship</x:v>
      </x:c>
      <x:c r="Q57" s="1" t="n">
        <x:f>IF('Setup'!$B$22&gt;0,"",IF(C57=0,0,MAX(0,ROUNDUP(F57/'Capacity'!X99-'Capacity'!Y99,0)-'Capacity'!G99)))</x:f>
        <x:v>538</x:v>
      </x:c>
      <x:c r="R57" s="1" t="n">
        <x:f>IF('Setup'!$B$22&gt;0,"",IF(C57=0,0,MAX(0,ROUNDUP(F57/'Capacity'!X100-'Capacity'!Y100,0)-'Capacity'!G100)))</x:f>
        <x:v>450</x:v>
      </x:c>
      <x:c r="S57" s="1" t="n">
        <x:f>IF('Setup'!$B$22&gt;0,"",IF(C57=0,0,MAX(0,ROUNDUP(F57/'Capacity'!X101-'Capacity'!Y101,0)-'Capacity'!G101)))</x:f>
        <x:v>270</x:v>
      </x:c>
      <x:c r="T57" s="1" t="str">
        <x:f>IF('Setup'!$B$22&gt;0,"",IF(C57=0,IF(L57&gt;'Setup'!$B$7,"Backlog on closed day","Closed"),IF(OR(V57&gt;0,W57&gt;0),"Resolve staffing limits",IF(U57&gt;0,"Resolve physical limit",IF(L57&gt;'Setup'!$B$7,"Close labor capacity gap",IF(L57&gt;0,"Backlog below threshold","Within daily capacity"))))))</x:f>
        <x:v>Resolve physical limit</x:v>
      </x:c>
      <x:c r="U57" s="1" t="n">
        <x:f>IF('Setup'!$B$22&gt;0,"",IF(C57=0,0,MAX(0,F57-INT(MIN('Capacity'!M99:M101)))))</x:f>
        <x:v>156995</x:v>
      </x:c>
      <x:c r="V57" s="1" t="n">
        <x:f>IF('Setup'!$B$22&gt;0,"",SUM('Capacity'!T99:T101)*C57)</x:f>
        <x:v>0</x:v>
      </x:c>
      <x:c r="W57" s="1" t="n">
        <x:f>IF('Setup'!$B$22&gt;0,"",SUM('Capacity'!W99:W101)*C57)</x:f>
        <x:v>0</x:v>
      </x:c>
    </x:row>
    <x:row r="58" ht="23" customHeight="1">
      <x:c r="A58" s="20" t="n">
        <x:f>IF('Setup'!$B$22&gt;0,"",'Demand'!A58)</x:f>
        <x:v>46352</x:v>
      </x:c>
      <x:c r="B58" s="1" t="n">
        <x:f>IF('Setup'!$B$22&gt;0,"",'Demand'!B58)</x:f>
        <x:v>8</x:v>
      </x:c>
      <x:c r="C58" s="1" t="n">
        <x:f>IF('Setup'!$B$22&gt;0,"",'Demand'!C58)</x:f>
        <x:v>1</x:v>
      </x:c>
      <x:c r="D58" s="24" t="n">
        <x:f>IF('Setup'!$B$22&gt;0,"",ROUND('Demand'!D58*'Setup'!B19,0))</x:f>
        <x:v>15400</x:v>
      </x:c>
      <x:c r="E58" s="24" t="n">
        <x:f>IF('Setup'!$B$22&gt;0,"",L57)</x:f>
        <x:v>156995</x:v>
      </x:c>
      <x:c r="F58" s="24" t="n">
        <x:f>IF('Setup'!$B$22&gt;0,"",D58+E58)</x:f>
        <x:v>172395</x:v>
      </x:c>
      <x:c r="G58" s="24" t="n">
        <x:f>IF('Setup'!$B$22&gt;0,"",'Capacity'!N99*C58)</x:f>
        <x:v>8111</x:v>
      </x:c>
      <x:c r="H58" s="24" t="n">
        <x:f>IF('Setup'!$B$22&gt;0,"",'Capacity'!N100*C58)</x:f>
        <x:v>7648</x:v>
      </x:c>
      <x:c r="I58" s="24" t="n">
        <x:f>IF('Setup'!$B$22&gt;0,"",'Capacity'!N101*C58)</x:f>
        <x:v>6800</x:v>
      </x:c>
      <x:c r="J58" s="24" t="n">
        <x:f>IF('Setup'!$B$22&gt;0,"",MIN(G58:I58))</x:f>
        <x:v>6800</x:v>
      </x:c>
      <x:c r="K58" s="24" t="n">
        <x:f>IF('Setup'!$B$22&gt;0,"",MIN(F58,J58))</x:f>
        <x:v>6800</x:v>
      </x:c>
      <x:c r="L58" s="24" t="n">
        <x:f>IF('Setup'!$B$22&gt;0,"",MAX(0,F58-K58))</x:f>
        <x:v>165595</x:v>
      </x:c>
      <x:c r="M58" s="23" t="n">
        <x:f>IF('Setup'!$B$22&gt;0,"",IF(J58=0,0,K58/J58))</x:f>
        <x:v>1</x:v>
      </x:c>
      <x:c r="N58" s="25" t="n">
        <x:f>IF('Setup'!$B$22&gt;0,"",SUM('Capacity'!Z99:Z101)*C58)</x:f>
        <x:v>12711.57</x:v>
      </x:c>
      <x:c r="O58" s="25" t="n">
        <x:f>IF('Setup'!$B$22&gt;0,"",SUM('Capacity'!Q99:Q101)*C58)</x:f>
        <x:v>3886.29</x:v>
      </x:c>
      <x:c r="P58" s="1" t="str">
        <x:f>IF('Setup'!$B$22&gt;0,"",IF(C58=0,"Closed",INDEX('Processes'!$A$6:$A$8,MATCH(J58,G58:I58,0))))</x:f>
        <x:v>Ship</x:v>
      </x:c>
      <x:c r="Q58" s="1" t="n">
        <x:f>IF('Setup'!$B$22&gt;0,"",IF(C58=0,0,MAX(0,ROUNDUP(F58/'Capacity'!X99-'Capacity'!Y99,0)-'Capacity'!G99)))</x:f>
        <x:v>568</x:v>
      </x:c>
      <x:c r="R58" s="1" t="n">
        <x:f>IF('Setup'!$B$22&gt;0,"",IF(C58=0,0,MAX(0,ROUNDUP(F58/'Capacity'!X100-'Capacity'!Y100,0)-'Capacity'!G100)))</x:f>
        <x:v>474</x:v>
      </x:c>
      <x:c r="S58" s="1" t="n">
        <x:f>IF('Setup'!$B$22&gt;0,"",IF(C58=0,0,MAX(0,ROUNDUP(F58/'Capacity'!X101-'Capacity'!Y101,0)-'Capacity'!G101)))</x:f>
        <x:v>285</x:v>
      </x:c>
      <x:c r="T58" s="1" t="str">
        <x:f>IF('Setup'!$B$22&gt;0,"",IF(C58=0,IF(L58&gt;'Setup'!$B$7,"Backlog on closed day","Closed"),IF(OR(V58&gt;0,W58&gt;0),"Resolve staffing limits",IF(U58&gt;0,"Resolve physical limit",IF(L58&gt;'Setup'!$B$7,"Close labor capacity gap",IF(L58&gt;0,"Backlog below threshold","Within daily capacity"))))))</x:f>
        <x:v>Resolve physical limit</x:v>
      </x:c>
      <x:c r="U58" s="1" t="n">
        <x:f>IF('Setup'!$B$22&gt;0,"",IF(C58=0,0,MAX(0,F58-INT(MIN('Capacity'!M99:M101)))))</x:f>
        <x:v>165595</x:v>
      </x:c>
      <x:c r="V58" s="1" t="n">
        <x:f>IF('Setup'!$B$22&gt;0,"",SUM('Capacity'!T99:T101)*C58)</x:f>
        <x:v>0</x:v>
      </x:c>
      <x:c r="W58" s="1" t="n">
        <x:f>IF('Setup'!$B$22&gt;0,"",SUM('Capacity'!W99:W101)*C58)</x:f>
        <x:v>0</x:v>
      </x:c>
    </x:row>
    <x:row r="59" ht="23" customHeight="1">
      <x:c r="A59" s="20" t="n">
        <x:f>IF('Setup'!$B$22&gt;0,"",'Demand'!A59)</x:f>
        <x:v>46353</x:v>
      </x:c>
      <x:c r="B59" s="1" t="n">
        <x:f>IF('Setup'!$B$22&gt;0,"",'Demand'!B59)</x:f>
        <x:v>8</x:v>
      </x:c>
      <x:c r="C59" s="1" t="n">
        <x:f>IF('Setup'!$B$22&gt;0,"",'Demand'!C59)</x:f>
        <x:v>1</x:v>
      </x:c>
      <x:c r="D59" s="24" t="n">
        <x:f>IF('Setup'!$B$22&gt;0,"",ROUND('Demand'!D59*'Setup'!B19,0))</x:f>
        <x:v>15400</x:v>
      </x:c>
      <x:c r="E59" s="24" t="n">
        <x:f>IF('Setup'!$B$22&gt;0,"",L58)</x:f>
        <x:v>165595</x:v>
      </x:c>
      <x:c r="F59" s="24" t="n">
        <x:f>IF('Setup'!$B$22&gt;0,"",D59+E59)</x:f>
        <x:v>180995</x:v>
      </x:c>
      <x:c r="G59" s="24" t="n">
        <x:f>IF('Setup'!$B$22&gt;0,"",'Capacity'!N99*C59)</x:f>
        <x:v>8111</x:v>
      </x:c>
      <x:c r="H59" s="24" t="n">
        <x:f>IF('Setup'!$B$22&gt;0,"",'Capacity'!N100*C59)</x:f>
        <x:v>7648</x:v>
      </x:c>
      <x:c r="I59" s="24" t="n">
        <x:f>IF('Setup'!$B$22&gt;0,"",'Capacity'!N101*C59)</x:f>
        <x:v>6800</x:v>
      </x:c>
      <x:c r="J59" s="24" t="n">
        <x:f>IF('Setup'!$B$22&gt;0,"",MIN(G59:I59))</x:f>
        <x:v>6800</x:v>
      </x:c>
      <x:c r="K59" s="24" t="n">
        <x:f>IF('Setup'!$B$22&gt;0,"",MIN(F59,J59))</x:f>
        <x:v>6800</x:v>
      </x:c>
      <x:c r="L59" s="24" t="n">
        <x:f>IF('Setup'!$B$22&gt;0,"",MAX(0,F59-K59))</x:f>
        <x:v>174195</x:v>
      </x:c>
      <x:c r="M59" s="23" t="n">
        <x:f>IF('Setup'!$B$22&gt;0,"",IF(J59=0,0,K59/J59))</x:f>
        <x:v>1</x:v>
      </x:c>
      <x:c r="N59" s="25" t="n">
        <x:f>IF('Setup'!$B$22&gt;0,"",SUM('Capacity'!Z99:Z101)*C59)</x:f>
        <x:v>12711.57</x:v>
      </x:c>
      <x:c r="O59" s="25" t="n">
        <x:f>IF('Setup'!$B$22&gt;0,"",SUM('Capacity'!Q99:Q101)*C59)</x:f>
        <x:v>3886.29</x:v>
      </x:c>
      <x:c r="P59" s="1" t="str">
        <x:f>IF('Setup'!$B$22&gt;0,"",IF(C59=0,"Closed",INDEX('Processes'!$A$6:$A$8,MATCH(J59,G59:I59,0))))</x:f>
        <x:v>Ship</x:v>
      </x:c>
      <x:c r="Q59" s="1" t="n">
        <x:f>IF('Setup'!$B$22&gt;0,"",IF(C59=0,0,MAX(0,ROUNDUP(F59/'Capacity'!X99-'Capacity'!Y99,0)-'Capacity'!G99)))</x:f>
        <x:v>597</x:v>
      </x:c>
      <x:c r="R59" s="1" t="n">
        <x:f>IF('Setup'!$B$22&gt;0,"",IF(C59=0,0,MAX(0,ROUNDUP(F59/'Capacity'!X100-'Capacity'!Y100,0)-'Capacity'!G100)))</x:f>
        <x:v>499</x:v>
      </x:c>
      <x:c r="S59" s="1" t="n">
        <x:f>IF('Setup'!$B$22&gt;0,"",IF(C59=0,0,MAX(0,ROUNDUP(F59/'Capacity'!X101-'Capacity'!Y101,0)-'Capacity'!G101)))</x:f>
        <x:v>300</x:v>
      </x:c>
      <x:c r="T59" s="1" t="str">
        <x:f>IF('Setup'!$B$22&gt;0,"",IF(C59=0,IF(L59&gt;'Setup'!$B$7,"Backlog on closed day","Closed"),IF(OR(V59&gt;0,W59&gt;0),"Resolve staffing limits",IF(U59&gt;0,"Resolve physical limit",IF(L59&gt;'Setup'!$B$7,"Close labor capacity gap",IF(L59&gt;0,"Backlog below threshold","Within daily capacity"))))))</x:f>
        <x:v>Resolve physical limit</x:v>
      </x:c>
      <x:c r="U59" s="1" t="n">
        <x:f>IF('Setup'!$B$22&gt;0,"",IF(C59=0,0,MAX(0,F59-INT(MIN('Capacity'!M99:M101)))))</x:f>
        <x:v>174195</x:v>
      </x:c>
      <x:c r="V59" s="1" t="n">
        <x:f>IF('Setup'!$B$22&gt;0,"",SUM('Capacity'!T99:T101)*C59)</x:f>
        <x:v>0</x:v>
      </x:c>
      <x:c r="W59" s="1" t="n">
        <x:f>IF('Setup'!$B$22&gt;0,"",SUM('Capacity'!W99:W101)*C59)</x:f>
        <x:v>0</x:v>
      </x:c>
    </x:row>
    <x:row r="60" ht="23" customHeight="1">
      <x:c r="A60" s="20" t="n">
        <x:f>IF('Setup'!$B$22&gt;0,"",'Demand'!A60)</x:f>
        <x:v>46354</x:v>
      </x:c>
      <x:c r="B60" s="1" t="n">
        <x:f>IF('Setup'!$B$22&gt;0,"",'Demand'!B60)</x:f>
        <x:v>8</x:v>
      </x:c>
      <x:c r="C60" s="1" t="n">
        <x:f>IF('Setup'!$B$22&gt;0,"",'Demand'!C60)</x:f>
        <x:v>0</x:v>
      </x:c>
      <x:c r="D60" s="24" t="n">
        <x:f>IF('Setup'!$B$22&gt;0,"",ROUND('Demand'!D60*'Setup'!B19,0))</x:f>
        <x:v>0</x:v>
      </x:c>
      <x:c r="E60" s="24" t="n">
        <x:f>IF('Setup'!$B$22&gt;0,"",L59)</x:f>
        <x:v>174195</x:v>
      </x:c>
      <x:c r="F60" s="24" t="n">
        <x:f>IF('Setup'!$B$22&gt;0,"",D60+E60)</x:f>
        <x:v>174195</x:v>
      </x:c>
      <x:c r="G60" s="24" t="n">
        <x:f>IF('Setup'!$B$22&gt;0,"",'Capacity'!N99*C60)</x:f>
        <x:v>0</x:v>
      </x:c>
      <x:c r="H60" s="24" t="n">
        <x:f>IF('Setup'!$B$22&gt;0,"",'Capacity'!N100*C60)</x:f>
        <x:v>0</x:v>
      </x:c>
      <x:c r="I60" s="24" t="n">
        <x:f>IF('Setup'!$B$22&gt;0,"",'Capacity'!N101*C60)</x:f>
        <x:v>0</x:v>
      </x:c>
      <x:c r="J60" s="24" t="n">
        <x:f>IF('Setup'!$B$22&gt;0,"",MIN(G60:I60))</x:f>
        <x:v>0</x:v>
      </x:c>
      <x:c r="K60" s="24" t="n">
        <x:f>IF('Setup'!$B$22&gt;0,"",MIN(F60,J60))</x:f>
        <x:v>0</x:v>
      </x:c>
      <x:c r="L60" s="24" t="n">
        <x:f>IF('Setup'!$B$22&gt;0,"",MAX(0,F60-K60))</x:f>
        <x:v>174195</x:v>
      </x:c>
      <x:c r="M60" s="23" t="n">
        <x:f>IF('Setup'!$B$22&gt;0,"",IF(J60=0,0,K60/J60))</x:f>
        <x:v>0</x:v>
      </x:c>
      <x:c r="N60" s="25" t="n">
        <x:f>IF('Setup'!$B$22&gt;0,"",SUM('Capacity'!Z99:Z101)*C60)</x:f>
        <x:v>0</x:v>
      </x:c>
      <x:c r="O60" s="25" t="n">
        <x:f>IF('Setup'!$B$22&gt;0,"",SUM('Capacity'!Q99:Q101)*C60)</x:f>
        <x:v>0</x:v>
      </x:c>
      <x:c r="P60" s="1" t="str">
        <x:f>IF('Setup'!$B$22&gt;0,"",IF(C60=0,"Closed",INDEX('Processes'!$A$6:$A$8,MATCH(J60,G60:I60,0))))</x:f>
        <x:v>Closed</x:v>
      </x:c>
      <x:c r="Q60" s="1" t="n">
        <x:f>IF('Setup'!$B$22&gt;0,"",IF(C60=0,0,MAX(0,ROUNDUP(F60/'Capacity'!X99-'Capacity'!Y99,0)-'Capacity'!G99)))</x:f>
        <x:v>0</x:v>
      </x:c>
      <x:c r="R60" s="1" t="n">
        <x:f>IF('Setup'!$B$22&gt;0,"",IF(C60=0,0,MAX(0,ROUNDUP(F60/'Capacity'!X100-'Capacity'!Y100,0)-'Capacity'!G100)))</x:f>
        <x:v>0</x:v>
      </x:c>
      <x:c r="S60" s="1" t="n">
        <x:f>IF('Setup'!$B$22&gt;0,"",IF(C60=0,0,MAX(0,ROUNDUP(F60/'Capacity'!X101-'Capacity'!Y101,0)-'Capacity'!G101)))</x:f>
        <x:v>0</x:v>
      </x:c>
      <x:c r="T60" s="1" t="str">
        <x:f>IF('Setup'!$B$22&gt;0,"",IF(C60=0,IF(L60&gt;'Setup'!$B$7,"Backlog on closed day","Closed"),IF(OR(V60&gt;0,W60&gt;0),"Resolve staffing limits",IF(U60&gt;0,"Resolve physical limit",IF(L60&gt;'Setup'!$B$7,"Close labor capacity gap",IF(L60&gt;0,"Backlog below threshold","Within daily capacity"))))))</x:f>
        <x:v>Backlog on closed day</x:v>
      </x:c>
      <x:c r="U60" s="1" t="n">
        <x:f>IF('Setup'!$B$22&gt;0,"",IF(C60=0,0,MAX(0,F60-INT(MIN('Capacity'!M99:M101)))))</x:f>
        <x:v>0</x:v>
      </x:c>
      <x:c r="V60" s="1" t="n">
        <x:f>IF('Setup'!$B$22&gt;0,"",SUM('Capacity'!T99:T101)*C60)</x:f>
        <x:v>0</x:v>
      </x:c>
      <x:c r="W60" s="1" t="n">
        <x:f>IF('Setup'!$B$22&gt;0,"",SUM('Capacity'!W99:W101)*C60)</x:f>
        <x:v>0</x:v>
      </x:c>
    </x:row>
    <x:row r="61" ht="23" customHeight="1">
      <x:c r="A61" s="20" t="n">
        <x:f>IF('Setup'!$B$22&gt;0,"",'Demand'!A61)</x:f>
        <x:v>46355</x:v>
      </x:c>
      <x:c r="B61" s="1" t="n">
        <x:f>IF('Setup'!$B$22&gt;0,"",'Demand'!B61)</x:f>
        <x:v>8</x:v>
      </x:c>
      <x:c r="C61" s="1" t="n">
        <x:f>IF('Setup'!$B$22&gt;0,"",'Demand'!C61)</x:f>
        <x:v>0</x:v>
      </x:c>
      <x:c r="D61" s="24" t="n">
        <x:f>IF('Setup'!$B$22&gt;0,"",ROUND('Demand'!D61*'Setup'!B19,0))</x:f>
        <x:v>0</x:v>
      </x:c>
      <x:c r="E61" s="24" t="n">
        <x:f>IF('Setup'!$B$22&gt;0,"",L60)</x:f>
        <x:v>174195</x:v>
      </x:c>
      <x:c r="F61" s="24" t="n">
        <x:f>IF('Setup'!$B$22&gt;0,"",D61+E61)</x:f>
        <x:v>174195</x:v>
      </x:c>
      <x:c r="G61" s="24" t="n">
        <x:f>IF('Setup'!$B$22&gt;0,"",'Capacity'!N99*C61)</x:f>
        <x:v>0</x:v>
      </x:c>
      <x:c r="H61" s="24" t="n">
        <x:f>IF('Setup'!$B$22&gt;0,"",'Capacity'!N100*C61)</x:f>
        <x:v>0</x:v>
      </x:c>
      <x:c r="I61" s="24" t="n">
        <x:f>IF('Setup'!$B$22&gt;0,"",'Capacity'!N101*C61)</x:f>
        <x:v>0</x:v>
      </x:c>
      <x:c r="J61" s="24" t="n">
        <x:f>IF('Setup'!$B$22&gt;0,"",MIN(G61:I61))</x:f>
        <x:v>0</x:v>
      </x:c>
      <x:c r="K61" s="24" t="n">
        <x:f>IF('Setup'!$B$22&gt;0,"",MIN(F61,J61))</x:f>
        <x:v>0</x:v>
      </x:c>
      <x:c r="L61" s="24" t="n">
        <x:f>IF('Setup'!$B$22&gt;0,"",MAX(0,F61-K61))</x:f>
        <x:v>174195</x:v>
      </x:c>
      <x:c r="M61" s="23" t="n">
        <x:f>IF('Setup'!$B$22&gt;0,"",IF(J61=0,0,K61/J61))</x:f>
        <x:v>0</x:v>
      </x:c>
      <x:c r="N61" s="25" t="n">
        <x:f>IF('Setup'!$B$22&gt;0,"",SUM('Capacity'!Z99:Z101)*C61)</x:f>
        <x:v>0</x:v>
      </x:c>
      <x:c r="O61" s="25" t="n">
        <x:f>IF('Setup'!$B$22&gt;0,"",SUM('Capacity'!Q99:Q101)*C61)</x:f>
        <x:v>0</x:v>
      </x:c>
      <x:c r="P61" s="1" t="str">
        <x:f>IF('Setup'!$B$22&gt;0,"",IF(C61=0,"Closed",INDEX('Processes'!$A$6:$A$8,MATCH(J61,G61:I61,0))))</x:f>
        <x:v>Closed</x:v>
      </x:c>
      <x:c r="Q61" s="1" t="n">
        <x:f>IF('Setup'!$B$22&gt;0,"",IF(C61=0,0,MAX(0,ROUNDUP(F61/'Capacity'!X99-'Capacity'!Y99,0)-'Capacity'!G99)))</x:f>
        <x:v>0</x:v>
      </x:c>
      <x:c r="R61" s="1" t="n">
        <x:f>IF('Setup'!$B$22&gt;0,"",IF(C61=0,0,MAX(0,ROUNDUP(F61/'Capacity'!X100-'Capacity'!Y100,0)-'Capacity'!G100)))</x:f>
        <x:v>0</x:v>
      </x:c>
      <x:c r="S61" s="1" t="n">
        <x:f>IF('Setup'!$B$22&gt;0,"",IF(C61=0,0,MAX(0,ROUNDUP(F61/'Capacity'!X101-'Capacity'!Y101,0)-'Capacity'!G101)))</x:f>
        <x:v>0</x:v>
      </x:c>
      <x:c r="T61" s="1" t="str">
        <x:f>IF('Setup'!$B$22&gt;0,"",IF(C61=0,IF(L61&gt;'Setup'!$B$7,"Backlog on closed day","Closed"),IF(OR(V61&gt;0,W61&gt;0),"Resolve staffing limits",IF(U61&gt;0,"Resolve physical limit",IF(L61&gt;'Setup'!$B$7,"Close labor capacity gap",IF(L61&gt;0,"Backlog below threshold","Within daily capacity"))))))</x:f>
        <x:v>Backlog on closed day</x:v>
      </x:c>
      <x:c r="U61" s="1" t="n">
        <x:f>IF('Setup'!$B$22&gt;0,"",IF(C61=0,0,MAX(0,F61-INT(MIN('Capacity'!M99:M101)))))</x:f>
        <x:v>0</x:v>
      </x:c>
      <x:c r="V61" s="1" t="n">
        <x:f>IF('Setup'!$B$22&gt;0,"",SUM('Capacity'!T99:T101)*C61)</x:f>
        <x:v>0</x:v>
      </x:c>
      <x:c r="W61" s="1" t="n">
        <x:f>IF('Setup'!$B$22&gt;0,"",SUM('Capacity'!W99:W101)*C61)</x:f>
        <x:v>0</x:v>
      </x:c>
    </x:row>
    <x:row r="62" ht="23" customHeight="1">
      <x:c r="A62" s="20" t="n">
        <x:f>IF('Setup'!$B$22&gt;0,"",'Demand'!A62)</x:f>
        <x:v>46356</x:v>
      </x:c>
      <x:c r="B62" s="1" t="n">
        <x:f>IF('Setup'!$B$22&gt;0,"",'Demand'!B62)</x:f>
        <x:v>9</x:v>
      </x:c>
      <x:c r="C62" s="1" t="n">
        <x:f>IF('Setup'!$B$22&gt;0,"",'Demand'!C62)</x:f>
        <x:v>1</x:v>
      </x:c>
      <x:c r="D62" s="24" t="n">
        <x:f>IF('Setup'!$B$22&gt;0,"",ROUND('Demand'!D62*'Setup'!B19,0))</x:f>
        <x:v>12650</x:v>
      </x:c>
      <x:c r="E62" s="24" t="n">
        <x:f>IF('Setup'!$B$22&gt;0,"",L61)</x:f>
        <x:v>174195</x:v>
      </x:c>
      <x:c r="F62" s="24" t="n">
        <x:f>IF('Setup'!$B$22&gt;0,"",D62+E62)</x:f>
        <x:v>186845</x:v>
      </x:c>
      <x:c r="G62" s="24" t="n">
        <x:f>IF('Setup'!$B$22&gt;0,"",'Capacity'!N102*C62)</x:f>
        <x:v>8111</x:v>
      </x:c>
      <x:c r="H62" s="24" t="n">
        <x:f>IF('Setup'!$B$22&gt;0,"",'Capacity'!N103*C62)</x:f>
        <x:v>7648</x:v>
      </x:c>
      <x:c r="I62" s="24" t="n">
        <x:f>IF('Setup'!$B$22&gt;0,"",'Capacity'!N104*C62)</x:f>
        <x:v>6800</x:v>
      </x:c>
      <x:c r="J62" s="24" t="n">
        <x:f>IF('Setup'!$B$22&gt;0,"",MIN(G62:I62))</x:f>
        <x:v>6800</x:v>
      </x:c>
      <x:c r="K62" s="24" t="n">
        <x:f>IF('Setup'!$B$22&gt;0,"",MIN(F62,J62))</x:f>
        <x:v>6800</x:v>
      </x:c>
      <x:c r="L62" s="24" t="n">
        <x:f>IF('Setup'!$B$22&gt;0,"",MAX(0,F62-K62))</x:f>
        <x:v>180045</x:v>
      </x:c>
      <x:c r="M62" s="23" t="n">
        <x:f>IF('Setup'!$B$22&gt;0,"",IF(J62=0,0,K62/J62))</x:f>
        <x:v>1</x:v>
      </x:c>
      <x:c r="N62" s="25" t="n">
        <x:f>IF('Setup'!$B$22&gt;0,"",SUM('Capacity'!Z102:Z104)*C62)</x:f>
        <x:v>12711.57</x:v>
      </x:c>
      <x:c r="O62" s="25" t="n">
        <x:f>IF('Setup'!$B$22&gt;0,"",SUM('Capacity'!Q102:Q104)*C62)</x:f>
        <x:v>3886.29</x:v>
      </x:c>
      <x:c r="P62" s="1" t="str">
        <x:f>IF('Setup'!$B$22&gt;0,"",IF(C62=0,"Closed",INDEX('Processes'!$A$6:$A$8,MATCH(J62,G62:I62,0))))</x:f>
        <x:v>Ship</x:v>
      </x:c>
      <x:c r="Q62" s="1" t="n">
        <x:f>IF('Setup'!$B$22&gt;0,"",IF(C62=0,0,MAX(0,ROUNDUP(F62/'Capacity'!X102-'Capacity'!Y102,0)-'Capacity'!G102)))</x:f>
        <x:v>617</x:v>
      </x:c>
      <x:c r="R62" s="1" t="n">
        <x:f>IF('Setup'!$B$22&gt;0,"",IF(C62=0,0,MAX(0,ROUNDUP(F62/'Capacity'!X103-'Capacity'!Y103,0)-'Capacity'!G103)))</x:f>
        <x:v>516</x:v>
      </x:c>
      <x:c r="S62" s="1" t="n">
        <x:f>IF('Setup'!$B$22&gt;0,"",IF(C62=0,0,MAX(0,ROUNDUP(F62/'Capacity'!X104-'Capacity'!Y104,0)-'Capacity'!G104)))</x:f>
        <x:v>310</x:v>
      </x:c>
      <x:c r="T62" s="1" t="str">
        <x:f>IF('Setup'!$B$22&gt;0,"",IF(C62=0,IF(L62&gt;'Setup'!$B$7,"Backlog on closed day","Closed"),IF(OR(V62&gt;0,W62&gt;0),"Resolve staffing limits",IF(U62&gt;0,"Resolve physical limit",IF(L62&gt;'Setup'!$B$7,"Close labor capacity gap",IF(L62&gt;0,"Backlog below threshold","Within daily capacity"))))))</x:f>
        <x:v>Resolve physical limit</x:v>
      </x:c>
      <x:c r="U62" s="1" t="n">
        <x:f>IF('Setup'!$B$22&gt;0,"",IF(C62=0,0,MAX(0,F62-INT(MIN('Capacity'!M102:M104)))))</x:f>
        <x:v>180045</x:v>
      </x:c>
      <x:c r="V62" s="1" t="n">
        <x:f>IF('Setup'!$B$22&gt;0,"",SUM('Capacity'!T102:T104)*C62)</x:f>
        <x:v>0</x:v>
      </x:c>
      <x:c r="W62" s="1" t="n">
        <x:f>IF('Setup'!$B$22&gt;0,"",SUM('Capacity'!W102:W104)*C62)</x:f>
        <x:v>0</x:v>
      </x:c>
    </x:row>
    <x:row r="63" ht="23" customHeight="1">
      <x:c r="A63" s="20" t="n">
        <x:f>IF('Setup'!$B$22&gt;0,"",'Demand'!A63)</x:f>
        <x:v>46357</x:v>
      </x:c>
      <x:c r="B63" s="1" t="n">
        <x:f>IF('Setup'!$B$22&gt;0,"",'Demand'!B63)</x:f>
        <x:v>9</x:v>
      </x:c>
      <x:c r="C63" s="1" t="n">
        <x:f>IF('Setup'!$B$22&gt;0,"",'Demand'!C63)</x:f>
        <x:v>1</x:v>
      </x:c>
      <x:c r="D63" s="24" t="n">
        <x:f>IF('Setup'!$B$22&gt;0,"",ROUND('Demand'!D63*'Setup'!B19,0))</x:f>
        <x:v>12650</x:v>
      </x:c>
      <x:c r="E63" s="24" t="n">
        <x:f>IF('Setup'!$B$22&gt;0,"",L62)</x:f>
        <x:v>180045</x:v>
      </x:c>
      <x:c r="F63" s="24" t="n">
        <x:f>IF('Setup'!$B$22&gt;0,"",D63+E63)</x:f>
        <x:v>192695</x:v>
      </x:c>
      <x:c r="G63" s="24" t="n">
        <x:f>IF('Setup'!$B$22&gt;0,"",'Capacity'!N102*C63)</x:f>
        <x:v>8111</x:v>
      </x:c>
      <x:c r="H63" s="24" t="n">
        <x:f>IF('Setup'!$B$22&gt;0,"",'Capacity'!N103*C63)</x:f>
        <x:v>7648</x:v>
      </x:c>
      <x:c r="I63" s="24" t="n">
        <x:f>IF('Setup'!$B$22&gt;0,"",'Capacity'!N104*C63)</x:f>
        <x:v>6800</x:v>
      </x:c>
      <x:c r="J63" s="24" t="n">
        <x:f>IF('Setup'!$B$22&gt;0,"",MIN(G63:I63))</x:f>
        <x:v>6800</x:v>
      </x:c>
      <x:c r="K63" s="24" t="n">
        <x:f>IF('Setup'!$B$22&gt;0,"",MIN(F63,J63))</x:f>
        <x:v>6800</x:v>
      </x:c>
      <x:c r="L63" s="24" t="n">
        <x:f>IF('Setup'!$B$22&gt;0,"",MAX(0,F63-K63))</x:f>
        <x:v>185895</x:v>
      </x:c>
      <x:c r="M63" s="23" t="n">
        <x:f>IF('Setup'!$B$22&gt;0,"",IF(J63=0,0,K63/J63))</x:f>
        <x:v>1</x:v>
      </x:c>
      <x:c r="N63" s="25" t="n">
        <x:f>IF('Setup'!$B$22&gt;0,"",SUM('Capacity'!Z102:Z104)*C63)</x:f>
        <x:v>12711.57</x:v>
      </x:c>
      <x:c r="O63" s="25" t="n">
        <x:f>IF('Setup'!$B$22&gt;0,"",SUM('Capacity'!Q102:Q104)*C63)</x:f>
        <x:v>3886.29</x:v>
      </x:c>
      <x:c r="P63" s="1" t="str">
        <x:f>IF('Setup'!$B$22&gt;0,"",IF(C63=0,"Closed",INDEX('Processes'!$A$6:$A$8,MATCH(J63,G63:I63,0))))</x:f>
        <x:v>Ship</x:v>
      </x:c>
      <x:c r="Q63" s="1" t="n">
        <x:f>IF('Setup'!$B$22&gt;0,"",IF(C63=0,0,MAX(0,ROUNDUP(F63/'Capacity'!X102-'Capacity'!Y102,0)-'Capacity'!G102)))</x:f>
        <x:v>638</x:v>
      </x:c>
      <x:c r="R63" s="1" t="n">
        <x:f>IF('Setup'!$B$22&gt;0,"",IF(C63=0,0,MAX(0,ROUNDUP(F63/'Capacity'!X103-'Capacity'!Y103,0)-'Capacity'!G103)))</x:f>
        <x:v>533</x:v>
      </x:c>
      <x:c r="S63" s="1" t="n">
        <x:f>IF('Setup'!$B$22&gt;0,"",IF(C63=0,0,MAX(0,ROUNDUP(F63/'Capacity'!X104-'Capacity'!Y104,0)-'Capacity'!G104)))</x:f>
        <x:v>320</x:v>
      </x:c>
      <x:c r="T63" s="1" t="str">
        <x:f>IF('Setup'!$B$22&gt;0,"",IF(C63=0,IF(L63&gt;'Setup'!$B$7,"Backlog on closed day","Closed"),IF(OR(V63&gt;0,W63&gt;0),"Resolve staffing limits",IF(U63&gt;0,"Resolve physical limit",IF(L63&gt;'Setup'!$B$7,"Close labor capacity gap",IF(L63&gt;0,"Backlog below threshold","Within daily capacity"))))))</x:f>
        <x:v>Resolve physical limit</x:v>
      </x:c>
      <x:c r="U63" s="1" t="n">
        <x:f>IF('Setup'!$B$22&gt;0,"",IF(C63=0,0,MAX(0,F63-INT(MIN('Capacity'!M102:M104)))))</x:f>
        <x:v>185895</x:v>
      </x:c>
      <x:c r="V63" s="1" t="n">
        <x:f>IF('Setup'!$B$22&gt;0,"",SUM('Capacity'!T102:T104)*C63)</x:f>
        <x:v>0</x:v>
      </x:c>
      <x:c r="W63" s="1" t="n">
        <x:f>IF('Setup'!$B$22&gt;0,"",SUM('Capacity'!W102:W104)*C63)</x:f>
        <x:v>0</x:v>
      </x:c>
    </x:row>
    <x:row r="64" ht="23" customHeight="1">
      <x:c r="A64" s="20" t="n">
        <x:f>IF('Setup'!$B$22&gt;0,"",'Demand'!A64)</x:f>
        <x:v>46358</x:v>
      </x:c>
      <x:c r="B64" s="1" t="n">
        <x:f>IF('Setup'!$B$22&gt;0,"",'Demand'!B64)</x:f>
        <x:v>9</x:v>
      </x:c>
      <x:c r="C64" s="1" t="n">
        <x:f>IF('Setup'!$B$22&gt;0,"",'Demand'!C64)</x:f>
        <x:v>1</x:v>
      </x:c>
      <x:c r="D64" s="24" t="n">
        <x:f>IF('Setup'!$B$22&gt;0,"",ROUND('Demand'!D64*'Setup'!B19,0))</x:f>
        <x:v>12650</x:v>
      </x:c>
      <x:c r="E64" s="24" t="n">
        <x:f>IF('Setup'!$B$22&gt;0,"",L63)</x:f>
        <x:v>185895</x:v>
      </x:c>
      <x:c r="F64" s="24" t="n">
        <x:f>IF('Setup'!$B$22&gt;0,"",D64+E64)</x:f>
        <x:v>198545</x:v>
      </x:c>
      <x:c r="G64" s="24" t="n">
        <x:f>IF('Setup'!$B$22&gt;0,"",'Capacity'!N102*C64)</x:f>
        <x:v>8111</x:v>
      </x:c>
      <x:c r="H64" s="24" t="n">
        <x:f>IF('Setup'!$B$22&gt;0,"",'Capacity'!N103*C64)</x:f>
        <x:v>7648</x:v>
      </x:c>
      <x:c r="I64" s="24" t="n">
        <x:f>IF('Setup'!$B$22&gt;0,"",'Capacity'!N104*C64)</x:f>
        <x:v>6800</x:v>
      </x:c>
      <x:c r="J64" s="24" t="n">
        <x:f>IF('Setup'!$B$22&gt;0,"",MIN(G64:I64))</x:f>
        <x:v>6800</x:v>
      </x:c>
      <x:c r="K64" s="24" t="n">
        <x:f>IF('Setup'!$B$22&gt;0,"",MIN(F64,J64))</x:f>
        <x:v>6800</x:v>
      </x:c>
      <x:c r="L64" s="24" t="n">
        <x:f>IF('Setup'!$B$22&gt;0,"",MAX(0,F64-K64))</x:f>
        <x:v>191745</x:v>
      </x:c>
      <x:c r="M64" s="23" t="n">
        <x:f>IF('Setup'!$B$22&gt;0,"",IF(J64=0,0,K64/J64))</x:f>
        <x:v>1</x:v>
      </x:c>
      <x:c r="N64" s="25" t="n">
        <x:f>IF('Setup'!$B$22&gt;0,"",SUM('Capacity'!Z102:Z104)*C64)</x:f>
        <x:v>12711.57</x:v>
      </x:c>
      <x:c r="O64" s="25" t="n">
        <x:f>IF('Setup'!$B$22&gt;0,"",SUM('Capacity'!Q102:Q104)*C64)</x:f>
        <x:v>3886.29</x:v>
      </x:c>
      <x:c r="P64" s="1" t="str">
        <x:f>IF('Setup'!$B$22&gt;0,"",IF(C64=0,"Closed",INDEX('Processes'!$A$6:$A$8,MATCH(J64,G64:I64,0))))</x:f>
        <x:v>Ship</x:v>
      </x:c>
      <x:c r="Q64" s="1" t="n">
        <x:f>IF('Setup'!$B$22&gt;0,"",IF(C64=0,0,MAX(0,ROUNDUP(F64/'Capacity'!X102-'Capacity'!Y102,0)-'Capacity'!G102)))</x:f>
        <x:v>658</x:v>
      </x:c>
      <x:c r="R64" s="1" t="n">
        <x:f>IF('Setup'!$B$22&gt;0,"",IF(C64=0,0,MAX(0,ROUNDUP(F64/'Capacity'!X103-'Capacity'!Y103,0)-'Capacity'!G103)))</x:f>
        <x:v>550</x:v>
      </x:c>
      <x:c r="S64" s="1" t="n">
        <x:f>IF('Setup'!$B$22&gt;0,"",IF(C64=0,0,MAX(0,ROUNDUP(F64/'Capacity'!X104-'Capacity'!Y104,0)-'Capacity'!G104)))</x:f>
        <x:v>330</x:v>
      </x:c>
      <x:c r="T64" s="1" t="str">
        <x:f>IF('Setup'!$B$22&gt;0,"",IF(C64=0,IF(L64&gt;'Setup'!$B$7,"Backlog on closed day","Closed"),IF(OR(V64&gt;0,W64&gt;0),"Resolve staffing limits",IF(U64&gt;0,"Resolve physical limit",IF(L64&gt;'Setup'!$B$7,"Close labor capacity gap",IF(L64&gt;0,"Backlog below threshold","Within daily capacity"))))))</x:f>
        <x:v>Resolve physical limit</x:v>
      </x:c>
      <x:c r="U64" s="1" t="n">
        <x:f>IF('Setup'!$B$22&gt;0,"",IF(C64=0,0,MAX(0,F64-INT(MIN('Capacity'!M102:M104)))))</x:f>
        <x:v>191745</x:v>
      </x:c>
      <x:c r="V64" s="1" t="n">
        <x:f>IF('Setup'!$B$22&gt;0,"",SUM('Capacity'!T102:T104)*C64)</x:f>
        <x:v>0</x:v>
      </x:c>
      <x:c r="W64" s="1" t="n">
        <x:f>IF('Setup'!$B$22&gt;0,"",SUM('Capacity'!W102:W104)*C64)</x:f>
        <x:v>0</x:v>
      </x:c>
    </x:row>
    <x:row r="65" ht="23" customHeight="1">
      <x:c r="A65" s="20" t="n">
        <x:f>IF('Setup'!$B$22&gt;0,"",'Demand'!A65)</x:f>
        <x:v>46359</x:v>
      </x:c>
      <x:c r="B65" s="1" t="n">
        <x:f>IF('Setup'!$B$22&gt;0,"",'Demand'!B65)</x:f>
        <x:v>9</x:v>
      </x:c>
      <x:c r="C65" s="1" t="n">
        <x:f>IF('Setup'!$B$22&gt;0,"",'Demand'!C65)</x:f>
        <x:v>1</x:v>
      </x:c>
      <x:c r="D65" s="24" t="n">
        <x:f>IF('Setup'!$B$22&gt;0,"",ROUND('Demand'!D65*'Setup'!B19,0))</x:f>
        <x:v>12650</x:v>
      </x:c>
      <x:c r="E65" s="24" t="n">
        <x:f>IF('Setup'!$B$22&gt;0,"",L64)</x:f>
        <x:v>191745</x:v>
      </x:c>
      <x:c r="F65" s="24" t="n">
        <x:f>IF('Setup'!$B$22&gt;0,"",D65+E65)</x:f>
        <x:v>204395</x:v>
      </x:c>
      <x:c r="G65" s="24" t="n">
        <x:f>IF('Setup'!$B$22&gt;0,"",'Capacity'!N102*C65)</x:f>
        <x:v>8111</x:v>
      </x:c>
      <x:c r="H65" s="24" t="n">
        <x:f>IF('Setup'!$B$22&gt;0,"",'Capacity'!N103*C65)</x:f>
        <x:v>7648</x:v>
      </x:c>
      <x:c r="I65" s="24" t="n">
        <x:f>IF('Setup'!$B$22&gt;0,"",'Capacity'!N104*C65)</x:f>
        <x:v>6800</x:v>
      </x:c>
      <x:c r="J65" s="24" t="n">
        <x:f>IF('Setup'!$B$22&gt;0,"",MIN(G65:I65))</x:f>
        <x:v>6800</x:v>
      </x:c>
      <x:c r="K65" s="24" t="n">
        <x:f>IF('Setup'!$B$22&gt;0,"",MIN(F65,J65))</x:f>
        <x:v>6800</x:v>
      </x:c>
      <x:c r="L65" s="24" t="n">
        <x:f>IF('Setup'!$B$22&gt;0,"",MAX(0,F65-K65))</x:f>
        <x:v>197595</x:v>
      </x:c>
      <x:c r="M65" s="23" t="n">
        <x:f>IF('Setup'!$B$22&gt;0,"",IF(J65=0,0,K65/J65))</x:f>
        <x:v>1</x:v>
      </x:c>
      <x:c r="N65" s="25" t="n">
        <x:f>IF('Setup'!$B$22&gt;0,"",SUM('Capacity'!Z102:Z104)*C65)</x:f>
        <x:v>12711.57</x:v>
      </x:c>
      <x:c r="O65" s="25" t="n">
        <x:f>IF('Setup'!$B$22&gt;0,"",SUM('Capacity'!Q102:Q104)*C65)</x:f>
        <x:v>3886.29</x:v>
      </x:c>
      <x:c r="P65" s="1" t="str">
        <x:f>IF('Setup'!$B$22&gt;0,"",IF(C65=0,"Closed",INDEX('Processes'!$A$6:$A$8,MATCH(J65,G65:I65,0))))</x:f>
        <x:v>Ship</x:v>
      </x:c>
      <x:c r="Q65" s="1" t="n">
        <x:f>IF('Setup'!$B$22&gt;0,"",IF(C65=0,0,MAX(0,ROUNDUP(F65/'Capacity'!X102-'Capacity'!Y102,0)-'Capacity'!G102)))</x:f>
        <x:v>678</x:v>
      </x:c>
      <x:c r="R65" s="1" t="n">
        <x:f>IF('Setup'!$B$22&gt;0,"",IF(C65=0,0,MAX(0,ROUNDUP(F65/'Capacity'!X103-'Capacity'!Y103,0)-'Capacity'!G103)))</x:f>
        <x:v>566</x:v>
      </x:c>
      <x:c r="S65" s="1" t="n">
        <x:f>IF('Setup'!$B$22&gt;0,"",IF(C65=0,0,MAX(0,ROUNDUP(F65/'Capacity'!X104-'Capacity'!Y104,0)-'Capacity'!G104)))</x:f>
        <x:v>340</x:v>
      </x:c>
      <x:c r="T65" s="1" t="str">
        <x:f>IF('Setup'!$B$22&gt;0,"",IF(C65=0,IF(L65&gt;'Setup'!$B$7,"Backlog on closed day","Closed"),IF(OR(V65&gt;0,W65&gt;0),"Resolve staffing limits",IF(U65&gt;0,"Resolve physical limit",IF(L65&gt;'Setup'!$B$7,"Close labor capacity gap",IF(L65&gt;0,"Backlog below threshold","Within daily capacity"))))))</x:f>
        <x:v>Resolve physical limit</x:v>
      </x:c>
      <x:c r="U65" s="1" t="n">
        <x:f>IF('Setup'!$B$22&gt;0,"",IF(C65=0,0,MAX(0,F65-INT(MIN('Capacity'!M102:M104)))))</x:f>
        <x:v>197595</x:v>
      </x:c>
      <x:c r="V65" s="1" t="n">
        <x:f>IF('Setup'!$B$22&gt;0,"",SUM('Capacity'!T102:T104)*C65)</x:f>
        <x:v>0</x:v>
      </x:c>
      <x:c r="W65" s="1" t="n">
        <x:f>IF('Setup'!$B$22&gt;0,"",SUM('Capacity'!W102:W104)*C65)</x:f>
        <x:v>0</x:v>
      </x:c>
    </x:row>
    <x:row r="66" ht="23" customHeight="1">
      <x:c r="A66" s="20" t="n">
        <x:f>IF('Setup'!$B$22&gt;0,"",'Demand'!A66)</x:f>
        <x:v>46360</x:v>
      </x:c>
      <x:c r="B66" s="1" t="n">
        <x:f>IF('Setup'!$B$22&gt;0,"",'Demand'!B66)</x:f>
        <x:v>9</x:v>
      </x:c>
      <x:c r="C66" s="1" t="n">
        <x:f>IF('Setup'!$B$22&gt;0,"",'Demand'!C66)</x:f>
        <x:v>1</x:v>
      </x:c>
      <x:c r="D66" s="24" t="n">
        <x:f>IF('Setup'!$B$22&gt;0,"",ROUND('Demand'!D66*'Setup'!B19,0))</x:f>
        <x:v>12650</x:v>
      </x:c>
      <x:c r="E66" s="24" t="n">
        <x:f>IF('Setup'!$B$22&gt;0,"",L65)</x:f>
        <x:v>197595</x:v>
      </x:c>
      <x:c r="F66" s="24" t="n">
        <x:f>IF('Setup'!$B$22&gt;0,"",D66+E66)</x:f>
        <x:v>210245</x:v>
      </x:c>
      <x:c r="G66" s="24" t="n">
        <x:f>IF('Setup'!$B$22&gt;0,"",'Capacity'!N102*C66)</x:f>
        <x:v>8111</x:v>
      </x:c>
      <x:c r="H66" s="24" t="n">
        <x:f>IF('Setup'!$B$22&gt;0,"",'Capacity'!N103*C66)</x:f>
        <x:v>7648</x:v>
      </x:c>
      <x:c r="I66" s="24" t="n">
        <x:f>IF('Setup'!$B$22&gt;0,"",'Capacity'!N104*C66)</x:f>
        <x:v>6800</x:v>
      </x:c>
      <x:c r="J66" s="24" t="n">
        <x:f>IF('Setup'!$B$22&gt;0,"",MIN(G66:I66))</x:f>
        <x:v>6800</x:v>
      </x:c>
      <x:c r="K66" s="24" t="n">
        <x:f>IF('Setup'!$B$22&gt;0,"",MIN(F66,J66))</x:f>
        <x:v>6800</x:v>
      </x:c>
      <x:c r="L66" s="24" t="n">
        <x:f>IF('Setup'!$B$22&gt;0,"",MAX(0,F66-K66))</x:f>
        <x:v>203445</x:v>
      </x:c>
      <x:c r="M66" s="23" t="n">
        <x:f>IF('Setup'!$B$22&gt;0,"",IF(J66=0,0,K66/J66))</x:f>
        <x:v>1</x:v>
      </x:c>
      <x:c r="N66" s="25" t="n">
        <x:f>IF('Setup'!$B$22&gt;0,"",SUM('Capacity'!Z102:Z104)*C66)</x:f>
        <x:v>12711.57</x:v>
      </x:c>
      <x:c r="O66" s="25" t="n">
        <x:f>IF('Setup'!$B$22&gt;0,"",SUM('Capacity'!Q102:Q104)*C66)</x:f>
        <x:v>3886.29</x:v>
      </x:c>
      <x:c r="P66" s="1" t="str">
        <x:f>IF('Setup'!$B$22&gt;0,"",IF(C66=0,"Closed",INDEX('Processes'!$A$6:$A$8,MATCH(J66,G66:I66,0))))</x:f>
        <x:v>Ship</x:v>
      </x:c>
      <x:c r="Q66" s="1" t="n">
        <x:f>IF('Setup'!$B$22&gt;0,"",IF(C66=0,0,MAX(0,ROUNDUP(F66/'Capacity'!X102-'Capacity'!Y102,0)-'Capacity'!G102)))</x:f>
        <x:v>698</x:v>
      </x:c>
      <x:c r="R66" s="1" t="n">
        <x:f>IF('Setup'!$B$22&gt;0,"",IF(C66=0,0,MAX(0,ROUNDUP(F66/'Capacity'!X103-'Capacity'!Y103,0)-'Capacity'!G103)))</x:f>
        <x:v>583</x:v>
      </x:c>
      <x:c r="S66" s="1" t="n">
        <x:f>IF('Setup'!$B$22&gt;0,"",IF(C66=0,0,MAX(0,ROUNDUP(F66/'Capacity'!X104-'Capacity'!Y104,0)-'Capacity'!G104)))</x:f>
        <x:v>350</x:v>
      </x:c>
      <x:c r="T66" s="1" t="str">
        <x:f>IF('Setup'!$B$22&gt;0,"",IF(C66=0,IF(L66&gt;'Setup'!$B$7,"Backlog on closed day","Closed"),IF(OR(V66&gt;0,W66&gt;0),"Resolve staffing limits",IF(U66&gt;0,"Resolve physical limit",IF(L66&gt;'Setup'!$B$7,"Close labor capacity gap",IF(L66&gt;0,"Backlog below threshold","Within daily capacity"))))))</x:f>
        <x:v>Resolve physical limit</x:v>
      </x:c>
      <x:c r="U66" s="1" t="n">
        <x:f>IF('Setup'!$B$22&gt;0,"",IF(C66=0,0,MAX(0,F66-INT(MIN('Capacity'!M102:M104)))))</x:f>
        <x:v>203445</x:v>
      </x:c>
      <x:c r="V66" s="1" t="n">
        <x:f>IF('Setup'!$B$22&gt;0,"",SUM('Capacity'!T102:T104)*C66)</x:f>
        <x:v>0</x:v>
      </x:c>
      <x:c r="W66" s="1" t="n">
        <x:f>IF('Setup'!$B$22&gt;0,"",SUM('Capacity'!W102:W104)*C66)</x:f>
        <x:v>0</x:v>
      </x:c>
    </x:row>
    <x:row r="67" ht="23" customHeight="1">
      <x:c r="A67" s="20" t="n">
        <x:f>IF('Setup'!$B$22&gt;0,"",'Demand'!A67)</x:f>
        <x:v>46361</x:v>
      </x:c>
      <x:c r="B67" s="1" t="n">
        <x:f>IF('Setup'!$B$22&gt;0,"",'Demand'!B67)</x:f>
        <x:v>9</x:v>
      </x:c>
      <x:c r="C67" s="1" t="n">
        <x:f>IF('Setup'!$B$22&gt;0,"",'Demand'!C67)</x:f>
        <x:v>0</x:v>
      </x:c>
      <x:c r="D67" s="24" t="n">
        <x:f>IF('Setup'!$B$22&gt;0,"",ROUND('Demand'!D67*'Setup'!B19,0))</x:f>
        <x:v>0</x:v>
      </x:c>
      <x:c r="E67" s="24" t="n">
        <x:f>IF('Setup'!$B$22&gt;0,"",L66)</x:f>
        <x:v>203445</x:v>
      </x:c>
      <x:c r="F67" s="24" t="n">
        <x:f>IF('Setup'!$B$22&gt;0,"",D67+E67)</x:f>
        <x:v>203445</x:v>
      </x:c>
      <x:c r="G67" s="24" t="n">
        <x:f>IF('Setup'!$B$22&gt;0,"",'Capacity'!N102*C67)</x:f>
        <x:v>0</x:v>
      </x:c>
      <x:c r="H67" s="24" t="n">
        <x:f>IF('Setup'!$B$22&gt;0,"",'Capacity'!N103*C67)</x:f>
        <x:v>0</x:v>
      </x:c>
      <x:c r="I67" s="24" t="n">
        <x:f>IF('Setup'!$B$22&gt;0,"",'Capacity'!N104*C67)</x:f>
        <x:v>0</x:v>
      </x:c>
      <x:c r="J67" s="24" t="n">
        <x:f>IF('Setup'!$B$22&gt;0,"",MIN(G67:I67))</x:f>
        <x:v>0</x:v>
      </x:c>
      <x:c r="K67" s="24" t="n">
        <x:f>IF('Setup'!$B$22&gt;0,"",MIN(F67,J67))</x:f>
        <x:v>0</x:v>
      </x:c>
      <x:c r="L67" s="24" t="n">
        <x:f>IF('Setup'!$B$22&gt;0,"",MAX(0,F67-K67))</x:f>
        <x:v>203445</x:v>
      </x:c>
      <x:c r="M67" s="23" t="n">
        <x:f>IF('Setup'!$B$22&gt;0,"",IF(J67=0,0,K67/J67))</x:f>
        <x:v>0</x:v>
      </x:c>
      <x:c r="N67" s="25" t="n">
        <x:f>IF('Setup'!$B$22&gt;0,"",SUM('Capacity'!Z102:Z104)*C67)</x:f>
        <x:v>0</x:v>
      </x:c>
      <x:c r="O67" s="25" t="n">
        <x:f>IF('Setup'!$B$22&gt;0,"",SUM('Capacity'!Q102:Q104)*C67)</x:f>
        <x:v>0</x:v>
      </x:c>
      <x:c r="P67" s="1" t="str">
        <x:f>IF('Setup'!$B$22&gt;0,"",IF(C67=0,"Closed",INDEX('Processes'!$A$6:$A$8,MATCH(J67,G67:I67,0))))</x:f>
        <x:v>Closed</x:v>
      </x:c>
      <x:c r="Q67" s="1" t="n">
        <x:f>IF('Setup'!$B$22&gt;0,"",IF(C67=0,0,MAX(0,ROUNDUP(F67/'Capacity'!X102-'Capacity'!Y102,0)-'Capacity'!G102)))</x:f>
        <x:v>0</x:v>
      </x:c>
      <x:c r="R67" s="1" t="n">
        <x:f>IF('Setup'!$B$22&gt;0,"",IF(C67=0,0,MAX(0,ROUNDUP(F67/'Capacity'!X103-'Capacity'!Y103,0)-'Capacity'!G103)))</x:f>
        <x:v>0</x:v>
      </x:c>
      <x:c r="S67" s="1" t="n">
        <x:f>IF('Setup'!$B$22&gt;0,"",IF(C67=0,0,MAX(0,ROUNDUP(F67/'Capacity'!X104-'Capacity'!Y104,0)-'Capacity'!G104)))</x:f>
        <x:v>0</x:v>
      </x:c>
      <x:c r="T67" s="1" t="str">
        <x:f>IF('Setup'!$B$22&gt;0,"",IF(C67=0,IF(L67&gt;'Setup'!$B$7,"Backlog on closed day","Closed"),IF(OR(V67&gt;0,W67&gt;0),"Resolve staffing limits",IF(U67&gt;0,"Resolve physical limit",IF(L67&gt;'Setup'!$B$7,"Close labor capacity gap",IF(L67&gt;0,"Backlog below threshold","Within daily capacity"))))))</x:f>
        <x:v>Backlog on closed day</x:v>
      </x:c>
      <x:c r="U67" s="1" t="n">
        <x:f>IF('Setup'!$B$22&gt;0,"",IF(C67=0,0,MAX(0,F67-INT(MIN('Capacity'!M102:M104)))))</x:f>
        <x:v>0</x:v>
      </x:c>
      <x:c r="V67" s="1" t="n">
        <x:f>IF('Setup'!$B$22&gt;0,"",SUM('Capacity'!T102:T104)*C67)</x:f>
        <x:v>0</x:v>
      </x:c>
      <x:c r="W67" s="1" t="n">
        <x:f>IF('Setup'!$B$22&gt;0,"",SUM('Capacity'!W102:W104)*C67)</x:f>
        <x:v>0</x:v>
      </x:c>
    </x:row>
    <x:row r="68" ht="23" customHeight="1">
      <x:c r="A68" s="20" t="n">
        <x:f>IF('Setup'!$B$22&gt;0,"",'Demand'!A68)</x:f>
        <x:v>46362</x:v>
      </x:c>
      <x:c r="B68" s="1" t="n">
        <x:f>IF('Setup'!$B$22&gt;0,"",'Demand'!B68)</x:f>
        <x:v>9</x:v>
      </x:c>
      <x:c r="C68" s="1" t="n">
        <x:f>IF('Setup'!$B$22&gt;0,"",'Demand'!C68)</x:f>
        <x:v>0</x:v>
      </x:c>
      <x:c r="D68" s="24" t="n">
        <x:f>IF('Setup'!$B$22&gt;0,"",ROUND('Demand'!D68*'Setup'!B19,0))</x:f>
        <x:v>0</x:v>
      </x:c>
      <x:c r="E68" s="24" t="n">
        <x:f>IF('Setup'!$B$22&gt;0,"",L67)</x:f>
        <x:v>203445</x:v>
      </x:c>
      <x:c r="F68" s="24" t="n">
        <x:f>IF('Setup'!$B$22&gt;0,"",D68+E68)</x:f>
        <x:v>203445</x:v>
      </x:c>
      <x:c r="G68" s="24" t="n">
        <x:f>IF('Setup'!$B$22&gt;0,"",'Capacity'!N102*C68)</x:f>
        <x:v>0</x:v>
      </x:c>
      <x:c r="H68" s="24" t="n">
        <x:f>IF('Setup'!$B$22&gt;0,"",'Capacity'!N103*C68)</x:f>
        <x:v>0</x:v>
      </x:c>
      <x:c r="I68" s="24" t="n">
        <x:f>IF('Setup'!$B$22&gt;0,"",'Capacity'!N104*C68)</x:f>
        <x:v>0</x:v>
      </x:c>
      <x:c r="J68" s="24" t="n">
        <x:f>IF('Setup'!$B$22&gt;0,"",MIN(G68:I68))</x:f>
        <x:v>0</x:v>
      </x:c>
      <x:c r="K68" s="24" t="n">
        <x:f>IF('Setup'!$B$22&gt;0,"",MIN(F68,J68))</x:f>
        <x:v>0</x:v>
      </x:c>
      <x:c r="L68" s="24" t="n">
        <x:f>IF('Setup'!$B$22&gt;0,"",MAX(0,F68-K68))</x:f>
        <x:v>203445</x:v>
      </x:c>
      <x:c r="M68" s="23" t="n">
        <x:f>IF('Setup'!$B$22&gt;0,"",IF(J68=0,0,K68/J68))</x:f>
        <x:v>0</x:v>
      </x:c>
      <x:c r="N68" s="25" t="n">
        <x:f>IF('Setup'!$B$22&gt;0,"",SUM('Capacity'!Z102:Z104)*C68)</x:f>
        <x:v>0</x:v>
      </x:c>
      <x:c r="O68" s="25" t="n">
        <x:f>IF('Setup'!$B$22&gt;0,"",SUM('Capacity'!Q102:Q104)*C68)</x:f>
        <x:v>0</x:v>
      </x:c>
      <x:c r="P68" s="1" t="str">
        <x:f>IF('Setup'!$B$22&gt;0,"",IF(C68=0,"Closed",INDEX('Processes'!$A$6:$A$8,MATCH(J68,G68:I68,0))))</x:f>
        <x:v>Closed</x:v>
      </x:c>
      <x:c r="Q68" s="1" t="n">
        <x:f>IF('Setup'!$B$22&gt;0,"",IF(C68=0,0,MAX(0,ROUNDUP(F68/'Capacity'!X102-'Capacity'!Y102,0)-'Capacity'!G102)))</x:f>
        <x:v>0</x:v>
      </x:c>
      <x:c r="R68" s="1" t="n">
        <x:f>IF('Setup'!$B$22&gt;0,"",IF(C68=0,0,MAX(0,ROUNDUP(F68/'Capacity'!X103-'Capacity'!Y103,0)-'Capacity'!G103)))</x:f>
        <x:v>0</x:v>
      </x:c>
      <x:c r="S68" s="1" t="n">
        <x:f>IF('Setup'!$B$22&gt;0,"",IF(C68=0,0,MAX(0,ROUNDUP(F68/'Capacity'!X104-'Capacity'!Y104,0)-'Capacity'!G104)))</x:f>
        <x:v>0</x:v>
      </x:c>
      <x:c r="T68" s="1" t="str">
        <x:f>IF('Setup'!$B$22&gt;0,"",IF(C68=0,IF(L68&gt;'Setup'!$B$7,"Backlog on closed day","Closed"),IF(OR(V68&gt;0,W68&gt;0),"Resolve staffing limits",IF(U68&gt;0,"Resolve physical limit",IF(L68&gt;'Setup'!$B$7,"Close labor capacity gap",IF(L68&gt;0,"Backlog below threshold","Within daily capacity"))))))</x:f>
        <x:v>Backlog on closed day</x:v>
      </x:c>
      <x:c r="U68" s="1" t="n">
        <x:f>IF('Setup'!$B$22&gt;0,"",IF(C68=0,0,MAX(0,F68-INT(MIN('Capacity'!M102:M104)))))</x:f>
        <x:v>0</x:v>
      </x:c>
      <x:c r="V68" s="1" t="n">
        <x:f>IF('Setup'!$B$22&gt;0,"",SUM('Capacity'!T102:T104)*C68)</x:f>
        <x:v>0</x:v>
      </x:c>
      <x:c r="W68" s="1" t="n">
        <x:f>IF('Setup'!$B$22&gt;0,"",SUM('Capacity'!W102:W104)*C68)</x:f>
        <x:v>0</x:v>
      </x:c>
    </x:row>
    <x:row r="69" ht="23" customHeight="1">
      <x:c r="A69" s="20" t="n">
        <x:f>IF('Setup'!$B$22&gt;0,"",'Demand'!A69)</x:f>
        <x:v>46363</x:v>
      </x:c>
      <x:c r="B69" s="1" t="n">
        <x:f>IF('Setup'!$B$22&gt;0,"",'Demand'!B69)</x:f>
        <x:v>10</x:v>
      </x:c>
      <x:c r="C69" s="1" t="n">
        <x:f>IF('Setup'!$B$22&gt;0,"",'Demand'!C69)</x:f>
        <x:v>1</x:v>
      </x:c>
      <x:c r="D69" s="24" t="n">
        <x:f>IF('Setup'!$B$22&gt;0,"",ROUND('Demand'!D69*'Setup'!B19,0))</x:f>
        <x:v>11000</x:v>
      </x:c>
      <x:c r="E69" s="24" t="n">
        <x:f>IF('Setup'!$B$22&gt;0,"",L68)</x:f>
        <x:v>203445</x:v>
      </x:c>
      <x:c r="F69" s="24" t="n">
        <x:f>IF('Setup'!$B$22&gt;0,"",D69+E69)</x:f>
        <x:v>214445</x:v>
      </x:c>
      <x:c r="G69" s="24" t="n">
        <x:f>IF('Setup'!$B$22&gt;0,"",'Capacity'!N105*C69)</x:f>
        <x:v>7125</x:v>
      </x:c>
      <x:c r="H69" s="24" t="n">
        <x:f>IF('Setup'!$B$22&gt;0,"",'Capacity'!N106*C69)</x:f>
        <x:v>6718</x:v>
      </x:c>
      <x:c r="I69" s="24" t="n">
        <x:f>IF('Setup'!$B$22&gt;0,"",'Capacity'!N107*C69)</x:f>
        <x:v>6616</x:v>
      </x:c>
      <x:c r="J69" s="24" t="n">
        <x:f>IF('Setup'!$B$22&gt;0,"",MIN(G69:I69))</x:f>
        <x:v>6616</x:v>
      </x:c>
      <x:c r="K69" s="24" t="n">
        <x:f>IF('Setup'!$B$22&gt;0,"",MIN(F69,J69))</x:f>
        <x:v>6616</x:v>
      </x:c>
      <x:c r="L69" s="24" t="n">
        <x:f>IF('Setup'!$B$22&gt;0,"",MAX(0,F69-K69))</x:f>
        <x:v>207829</x:v>
      </x:c>
      <x:c r="M69" s="23" t="n">
        <x:f>IF('Setup'!$B$22&gt;0,"",IF(J69=0,0,K69/J69))</x:f>
        <x:v>1</x:v>
      </x:c>
      <x:c r="N69" s="25" t="n">
        <x:f>IF('Setup'!$B$22&gt;0,"",SUM('Capacity'!Z105:Z107)*C69)</x:f>
        <x:v>10704.48</x:v>
      </x:c>
      <x:c r="O69" s="25" t="n">
        <x:f>IF('Setup'!$B$22&gt;0,"",SUM('Capacity'!Q105:Q107)*C69)</x:f>
        <x:v>1879.1999999999998</x:v>
      </x:c>
      <x:c r="P69" s="1" t="str">
        <x:f>IF('Setup'!$B$22&gt;0,"",IF(C69=0,"Closed",INDEX('Processes'!$A$6:$A$8,MATCH(J69,G69:I69,0))))</x:f>
        <x:v>Ship</x:v>
      </x:c>
      <x:c r="Q69" s="1" t="n">
        <x:f>IF('Setup'!$B$22&gt;0,"",IF(C69=0,0,MAX(0,ROUNDUP(F69/'Capacity'!X105-'Capacity'!Y105,0)-'Capacity'!G105)))</x:f>
        <x:v>815</x:v>
      </x:c>
      <x:c r="R69" s="1" t="n">
        <x:f>IF('Setup'!$B$22&gt;0,"",IF(C69=0,0,MAX(0,ROUNDUP(F69/'Capacity'!X106-'Capacity'!Y106,0)-'Capacity'!G106)))</x:f>
        <x:v>681</x:v>
      </x:c>
      <x:c r="S69" s="1" t="n">
        <x:f>IF('Setup'!$B$22&gt;0,"",IF(C69=0,0,MAX(0,ROUNDUP(F69/'Capacity'!X107-'Capacity'!Y107,0)-'Capacity'!G107)))</x:f>
        <x:v>409</x:v>
      </x:c>
      <x:c r="T69" s="1" t="str">
        <x:f>IF('Setup'!$B$22&gt;0,"",IF(C69=0,IF(L69&gt;'Setup'!$B$7,"Backlog on closed day","Closed"),IF(OR(V69&gt;0,W69&gt;0),"Resolve staffing limits",IF(U69&gt;0,"Resolve physical limit",IF(L69&gt;'Setup'!$B$7,"Close labor capacity gap",IF(L69&gt;0,"Backlog below threshold","Within daily capacity"))))))</x:f>
        <x:v>Resolve physical limit</x:v>
      </x:c>
      <x:c r="U69" s="1" t="n">
        <x:f>IF('Setup'!$B$22&gt;0,"",IF(C69=0,0,MAX(0,F69-INT(MIN('Capacity'!M105:M107)))))</x:f>
        <x:v>207645</x:v>
      </x:c>
      <x:c r="V69" s="1" t="n">
        <x:f>IF('Setup'!$B$22&gt;0,"",SUM('Capacity'!T105:T107)*C69)</x:f>
        <x:v>0</x:v>
      </x:c>
      <x:c r="W69" s="1" t="n">
        <x:f>IF('Setup'!$B$22&gt;0,"",SUM('Capacity'!W105:W107)*C69)</x:f>
        <x:v>0</x:v>
      </x:c>
    </x:row>
    <x:row r="70" ht="23" customHeight="1">
      <x:c r="A70" s="20" t="n">
        <x:f>IF('Setup'!$B$22&gt;0,"",'Demand'!A70)</x:f>
        <x:v>46364</x:v>
      </x:c>
      <x:c r="B70" s="1" t="n">
        <x:f>IF('Setup'!$B$22&gt;0,"",'Demand'!B70)</x:f>
        <x:v>10</x:v>
      </x:c>
      <x:c r="C70" s="1" t="n">
        <x:f>IF('Setup'!$B$22&gt;0,"",'Demand'!C70)</x:f>
        <x:v>1</x:v>
      </x:c>
      <x:c r="D70" s="24" t="n">
        <x:f>IF('Setup'!$B$22&gt;0,"",ROUND('Demand'!D70*'Setup'!B19,0))</x:f>
        <x:v>11000</x:v>
      </x:c>
      <x:c r="E70" s="24" t="n">
        <x:f>IF('Setup'!$B$22&gt;0,"",L69)</x:f>
        <x:v>207829</x:v>
      </x:c>
      <x:c r="F70" s="24" t="n">
        <x:f>IF('Setup'!$B$22&gt;0,"",D70+E70)</x:f>
        <x:v>218829</x:v>
      </x:c>
      <x:c r="G70" s="24" t="n">
        <x:f>IF('Setup'!$B$22&gt;0,"",'Capacity'!N105*C70)</x:f>
        <x:v>7125</x:v>
      </x:c>
      <x:c r="H70" s="24" t="n">
        <x:f>IF('Setup'!$B$22&gt;0,"",'Capacity'!N106*C70)</x:f>
        <x:v>6718</x:v>
      </x:c>
      <x:c r="I70" s="24" t="n">
        <x:f>IF('Setup'!$B$22&gt;0,"",'Capacity'!N107*C70)</x:f>
        <x:v>6616</x:v>
      </x:c>
      <x:c r="J70" s="24" t="n">
        <x:f>IF('Setup'!$B$22&gt;0,"",MIN(G70:I70))</x:f>
        <x:v>6616</x:v>
      </x:c>
      <x:c r="K70" s="24" t="n">
        <x:f>IF('Setup'!$B$22&gt;0,"",MIN(F70,J70))</x:f>
        <x:v>6616</x:v>
      </x:c>
      <x:c r="L70" s="24" t="n">
        <x:f>IF('Setup'!$B$22&gt;0,"",MAX(0,F70-K70))</x:f>
        <x:v>212213</x:v>
      </x:c>
      <x:c r="M70" s="23" t="n">
        <x:f>IF('Setup'!$B$22&gt;0,"",IF(J70=0,0,K70/J70))</x:f>
        <x:v>1</x:v>
      </x:c>
      <x:c r="N70" s="25" t="n">
        <x:f>IF('Setup'!$B$22&gt;0,"",SUM('Capacity'!Z105:Z107)*C70)</x:f>
        <x:v>10704.48</x:v>
      </x:c>
      <x:c r="O70" s="25" t="n">
        <x:f>IF('Setup'!$B$22&gt;0,"",SUM('Capacity'!Q105:Q107)*C70)</x:f>
        <x:v>1879.1999999999998</x:v>
      </x:c>
      <x:c r="P70" s="1" t="str">
        <x:f>IF('Setup'!$B$22&gt;0,"",IF(C70=0,"Closed",INDEX('Processes'!$A$6:$A$8,MATCH(J70,G70:I70,0))))</x:f>
        <x:v>Ship</x:v>
      </x:c>
      <x:c r="Q70" s="1" t="n">
        <x:f>IF('Setup'!$B$22&gt;0,"",IF(C70=0,0,MAX(0,ROUNDUP(F70/'Capacity'!X105-'Capacity'!Y105,0)-'Capacity'!G105)))</x:f>
        <x:v>832</x:v>
      </x:c>
      <x:c r="R70" s="1" t="n">
        <x:f>IF('Setup'!$B$22&gt;0,"",IF(C70=0,0,MAX(0,ROUNDUP(F70/'Capacity'!X106-'Capacity'!Y106,0)-'Capacity'!G106)))</x:f>
        <x:v>695</x:v>
      </x:c>
      <x:c r="S70" s="1" t="n">
        <x:f>IF('Setup'!$B$22&gt;0,"",IF(C70=0,0,MAX(0,ROUNDUP(F70/'Capacity'!X107-'Capacity'!Y107,0)-'Capacity'!G107)))</x:f>
        <x:v>417</x:v>
      </x:c>
      <x:c r="T70" s="1" t="str">
        <x:f>IF('Setup'!$B$22&gt;0,"",IF(C70=0,IF(L70&gt;'Setup'!$B$7,"Backlog on closed day","Closed"),IF(OR(V70&gt;0,W70&gt;0),"Resolve staffing limits",IF(U70&gt;0,"Resolve physical limit",IF(L70&gt;'Setup'!$B$7,"Close labor capacity gap",IF(L70&gt;0,"Backlog below threshold","Within daily capacity"))))))</x:f>
        <x:v>Resolve physical limit</x:v>
      </x:c>
      <x:c r="U70" s="1" t="n">
        <x:f>IF('Setup'!$B$22&gt;0,"",IF(C70=0,0,MAX(0,F70-INT(MIN('Capacity'!M105:M107)))))</x:f>
        <x:v>212029</x:v>
      </x:c>
      <x:c r="V70" s="1" t="n">
        <x:f>IF('Setup'!$B$22&gt;0,"",SUM('Capacity'!T105:T107)*C70)</x:f>
        <x:v>0</x:v>
      </x:c>
      <x:c r="W70" s="1" t="n">
        <x:f>IF('Setup'!$B$22&gt;0,"",SUM('Capacity'!W105:W107)*C70)</x:f>
        <x:v>0</x:v>
      </x:c>
    </x:row>
    <x:row r="71" ht="23" customHeight="1">
      <x:c r="A71" s="20" t="n">
        <x:f>IF('Setup'!$B$22&gt;0,"",'Demand'!A71)</x:f>
        <x:v>46365</x:v>
      </x:c>
      <x:c r="B71" s="1" t="n">
        <x:f>IF('Setup'!$B$22&gt;0,"",'Demand'!B71)</x:f>
        <x:v>10</x:v>
      </x:c>
      <x:c r="C71" s="1" t="n">
        <x:f>IF('Setup'!$B$22&gt;0,"",'Demand'!C71)</x:f>
        <x:v>1</x:v>
      </x:c>
      <x:c r="D71" s="24" t="n">
        <x:f>IF('Setup'!$B$22&gt;0,"",ROUND('Demand'!D71*'Setup'!B19,0))</x:f>
        <x:v>11000</x:v>
      </x:c>
      <x:c r="E71" s="24" t="n">
        <x:f>IF('Setup'!$B$22&gt;0,"",L70)</x:f>
        <x:v>212213</x:v>
      </x:c>
      <x:c r="F71" s="24" t="n">
        <x:f>IF('Setup'!$B$22&gt;0,"",D71+E71)</x:f>
        <x:v>223213</x:v>
      </x:c>
      <x:c r="G71" s="24" t="n">
        <x:f>IF('Setup'!$B$22&gt;0,"",'Capacity'!N105*C71)</x:f>
        <x:v>7125</x:v>
      </x:c>
      <x:c r="H71" s="24" t="n">
        <x:f>IF('Setup'!$B$22&gt;0,"",'Capacity'!N106*C71)</x:f>
        <x:v>6718</x:v>
      </x:c>
      <x:c r="I71" s="24" t="n">
        <x:f>IF('Setup'!$B$22&gt;0,"",'Capacity'!N107*C71)</x:f>
        <x:v>6616</x:v>
      </x:c>
      <x:c r="J71" s="24" t="n">
        <x:f>IF('Setup'!$B$22&gt;0,"",MIN(G71:I71))</x:f>
        <x:v>6616</x:v>
      </x:c>
      <x:c r="K71" s="24" t="n">
        <x:f>IF('Setup'!$B$22&gt;0,"",MIN(F71,J71))</x:f>
        <x:v>6616</x:v>
      </x:c>
      <x:c r="L71" s="24" t="n">
        <x:f>IF('Setup'!$B$22&gt;0,"",MAX(0,F71-K71))</x:f>
        <x:v>216597</x:v>
      </x:c>
      <x:c r="M71" s="23" t="n">
        <x:f>IF('Setup'!$B$22&gt;0,"",IF(J71=0,0,K71/J71))</x:f>
        <x:v>1</x:v>
      </x:c>
      <x:c r="N71" s="25" t="n">
        <x:f>IF('Setup'!$B$22&gt;0,"",SUM('Capacity'!Z105:Z107)*C71)</x:f>
        <x:v>10704.48</x:v>
      </x:c>
      <x:c r="O71" s="25" t="n">
        <x:f>IF('Setup'!$B$22&gt;0,"",SUM('Capacity'!Q105:Q107)*C71)</x:f>
        <x:v>1879.1999999999998</x:v>
      </x:c>
      <x:c r="P71" s="1" t="str">
        <x:f>IF('Setup'!$B$22&gt;0,"",IF(C71=0,"Closed",INDEX('Processes'!$A$6:$A$8,MATCH(J71,G71:I71,0))))</x:f>
        <x:v>Ship</x:v>
      </x:c>
      <x:c r="Q71" s="1" t="n">
        <x:f>IF('Setup'!$B$22&gt;0,"",IF(C71=0,0,MAX(0,ROUNDUP(F71/'Capacity'!X105-'Capacity'!Y105,0)-'Capacity'!G105)))</x:f>
        <x:v>850</x:v>
      </x:c>
      <x:c r="R71" s="1" t="n">
        <x:f>IF('Setup'!$B$22&gt;0,"",IF(C71=0,0,MAX(0,ROUNDUP(F71/'Capacity'!X106-'Capacity'!Y106,0)-'Capacity'!G106)))</x:f>
        <x:v>709</x:v>
      </x:c>
      <x:c r="S71" s="1" t="n">
        <x:f>IF('Setup'!$B$22&gt;0,"",IF(C71=0,0,MAX(0,ROUNDUP(F71/'Capacity'!X107-'Capacity'!Y107,0)-'Capacity'!G107)))</x:f>
        <x:v>426</x:v>
      </x:c>
      <x:c r="T71" s="1" t="str">
        <x:f>IF('Setup'!$B$22&gt;0,"",IF(C71=0,IF(L71&gt;'Setup'!$B$7,"Backlog on closed day","Closed"),IF(OR(V71&gt;0,W71&gt;0),"Resolve staffing limits",IF(U71&gt;0,"Resolve physical limit",IF(L71&gt;'Setup'!$B$7,"Close labor capacity gap",IF(L71&gt;0,"Backlog below threshold","Within daily capacity"))))))</x:f>
        <x:v>Resolve physical limit</x:v>
      </x:c>
      <x:c r="U71" s="1" t="n">
        <x:f>IF('Setup'!$B$22&gt;0,"",IF(C71=0,0,MAX(0,F71-INT(MIN('Capacity'!M105:M107)))))</x:f>
        <x:v>216413</x:v>
      </x:c>
      <x:c r="V71" s="1" t="n">
        <x:f>IF('Setup'!$B$22&gt;0,"",SUM('Capacity'!T105:T107)*C71)</x:f>
        <x:v>0</x:v>
      </x:c>
      <x:c r="W71" s="1" t="n">
        <x:f>IF('Setup'!$B$22&gt;0,"",SUM('Capacity'!W105:W107)*C71)</x:f>
        <x:v>0</x:v>
      </x:c>
    </x:row>
    <x:row r="72" ht="23" customHeight="1">
      <x:c r="A72" s="20" t="n">
        <x:f>IF('Setup'!$B$22&gt;0,"",'Demand'!A72)</x:f>
        <x:v>46366</x:v>
      </x:c>
      <x:c r="B72" s="1" t="n">
        <x:f>IF('Setup'!$B$22&gt;0,"",'Demand'!B72)</x:f>
        <x:v>10</x:v>
      </x:c>
      <x:c r="C72" s="1" t="n">
        <x:f>IF('Setup'!$B$22&gt;0,"",'Demand'!C72)</x:f>
        <x:v>1</x:v>
      </x:c>
      <x:c r="D72" s="24" t="n">
        <x:f>IF('Setup'!$B$22&gt;0,"",ROUND('Demand'!D72*'Setup'!B19,0))</x:f>
        <x:v>11000</x:v>
      </x:c>
      <x:c r="E72" s="24" t="n">
        <x:f>IF('Setup'!$B$22&gt;0,"",L71)</x:f>
        <x:v>216597</x:v>
      </x:c>
      <x:c r="F72" s="24" t="n">
        <x:f>IF('Setup'!$B$22&gt;0,"",D72+E72)</x:f>
        <x:v>227597</x:v>
      </x:c>
      <x:c r="G72" s="24" t="n">
        <x:f>IF('Setup'!$B$22&gt;0,"",'Capacity'!N105*C72)</x:f>
        <x:v>7125</x:v>
      </x:c>
      <x:c r="H72" s="24" t="n">
        <x:f>IF('Setup'!$B$22&gt;0,"",'Capacity'!N106*C72)</x:f>
        <x:v>6718</x:v>
      </x:c>
      <x:c r="I72" s="24" t="n">
        <x:f>IF('Setup'!$B$22&gt;0,"",'Capacity'!N107*C72)</x:f>
        <x:v>6616</x:v>
      </x:c>
      <x:c r="J72" s="24" t="n">
        <x:f>IF('Setup'!$B$22&gt;0,"",MIN(G72:I72))</x:f>
        <x:v>6616</x:v>
      </x:c>
      <x:c r="K72" s="24" t="n">
        <x:f>IF('Setup'!$B$22&gt;0,"",MIN(F72,J72))</x:f>
        <x:v>6616</x:v>
      </x:c>
      <x:c r="L72" s="24" t="n">
        <x:f>IF('Setup'!$B$22&gt;0,"",MAX(0,F72-K72))</x:f>
        <x:v>220981</x:v>
      </x:c>
      <x:c r="M72" s="23" t="n">
        <x:f>IF('Setup'!$B$22&gt;0,"",IF(J72=0,0,K72/J72))</x:f>
        <x:v>1</x:v>
      </x:c>
      <x:c r="N72" s="25" t="n">
        <x:f>IF('Setup'!$B$22&gt;0,"",SUM('Capacity'!Z105:Z107)*C72)</x:f>
        <x:v>10704.48</x:v>
      </x:c>
      <x:c r="O72" s="25" t="n">
        <x:f>IF('Setup'!$B$22&gt;0,"",SUM('Capacity'!Q105:Q107)*C72)</x:f>
        <x:v>1879.1999999999998</x:v>
      </x:c>
      <x:c r="P72" s="1" t="str">
        <x:f>IF('Setup'!$B$22&gt;0,"",IF(C72=0,"Closed",INDEX('Processes'!$A$6:$A$8,MATCH(J72,G72:I72,0))))</x:f>
        <x:v>Ship</x:v>
      </x:c>
      <x:c r="Q72" s="1" t="n">
        <x:f>IF('Setup'!$B$22&gt;0,"",IF(C72=0,0,MAX(0,ROUNDUP(F72/'Capacity'!X105-'Capacity'!Y105,0)-'Capacity'!G105)))</x:f>
        <x:v>867</x:v>
      </x:c>
      <x:c r="R72" s="1" t="n">
        <x:f>IF('Setup'!$B$22&gt;0,"",IF(C72=0,0,MAX(0,ROUNDUP(F72/'Capacity'!X106-'Capacity'!Y106,0)-'Capacity'!G106)))</x:f>
        <x:v>724</x:v>
      </x:c>
      <x:c r="S72" s="1" t="n">
        <x:f>IF('Setup'!$B$22&gt;0,"",IF(C72=0,0,MAX(0,ROUNDUP(F72/'Capacity'!X107-'Capacity'!Y107,0)-'Capacity'!G107)))</x:f>
        <x:v>435</x:v>
      </x:c>
      <x:c r="T72" s="1" t="str">
        <x:f>IF('Setup'!$B$22&gt;0,"",IF(C72=0,IF(L72&gt;'Setup'!$B$7,"Backlog on closed day","Closed"),IF(OR(V72&gt;0,W72&gt;0),"Resolve staffing limits",IF(U72&gt;0,"Resolve physical limit",IF(L72&gt;'Setup'!$B$7,"Close labor capacity gap",IF(L72&gt;0,"Backlog below threshold","Within daily capacity"))))))</x:f>
        <x:v>Resolve physical limit</x:v>
      </x:c>
      <x:c r="U72" s="1" t="n">
        <x:f>IF('Setup'!$B$22&gt;0,"",IF(C72=0,0,MAX(0,F72-INT(MIN('Capacity'!M105:M107)))))</x:f>
        <x:v>220797</x:v>
      </x:c>
      <x:c r="V72" s="1" t="n">
        <x:f>IF('Setup'!$B$22&gt;0,"",SUM('Capacity'!T105:T107)*C72)</x:f>
        <x:v>0</x:v>
      </x:c>
      <x:c r="W72" s="1" t="n">
        <x:f>IF('Setup'!$B$22&gt;0,"",SUM('Capacity'!W105:W107)*C72)</x:f>
        <x:v>0</x:v>
      </x:c>
    </x:row>
    <x:row r="73" ht="23" customHeight="1">
      <x:c r="A73" s="20" t="n">
        <x:f>IF('Setup'!$B$22&gt;0,"",'Demand'!A73)</x:f>
        <x:v>46367</x:v>
      </x:c>
      <x:c r="B73" s="1" t="n">
        <x:f>IF('Setup'!$B$22&gt;0,"",'Demand'!B73)</x:f>
        <x:v>10</x:v>
      </x:c>
      <x:c r="C73" s="1" t="n">
        <x:f>IF('Setup'!$B$22&gt;0,"",'Demand'!C73)</x:f>
        <x:v>1</x:v>
      </x:c>
      <x:c r="D73" s="24" t="n">
        <x:f>IF('Setup'!$B$22&gt;0,"",ROUND('Demand'!D73*'Setup'!B19,0))</x:f>
        <x:v>11000</x:v>
      </x:c>
      <x:c r="E73" s="24" t="n">
        <x:f>IF('Setup'!$B$22&gt;0,"",L72)</x:f>
        <x:v>220981</x:v>
      </x:c>
      <x:c r="F73" s="24" t="n">
        <x:f>IF('Setup'!$B$22&gt;0,"",D73+E73)</x:f>
        <x:v>231981</x:v>
      </x:c>
      <x:c r="G73" s="24" t="n">
        <x:f>IF('Setup'!$B$22&gt;0,"",'Capacity'!N105*C73)</x:f>
        <x:v>7125</x:v>
      </x:c>
      <x:c r="H73" s="24" t="n">
        <x:f>IF('Setup'!$B$22&gt;0,"",'Capacity'!N106*C73)</x:f>
        <x:v>6718</x:v>
      </x:c>
      <x:c r="I73" s="24" t="n">
        <x:f>IF('Setup'!$B$22&gt;0,"",'Capacity'!N107*C73)</x:f>
        <x:v>6616</x:v>
      </x:c>
      <x:c r="J73" s="24" t="n">
        <x:f>IF('Setup'!$B$22&gt;0,"",MIN(G73:I73))</x:f>
        <x:v>6616</x:v>
      </x:c>
      <x:c r="K73" s="24" t="n">
        <x:f>IF('Setup'!$B$22&gt;0,"",MIN(F73,J73))</x:f>
        <x:v>6616</x:v>
      </x:c>
      <x:c r="L73" s="24" t="n">
        <x:f>IF('Setup'!$B$22&gt;0,"",MAX(0,F73-K73))</x:f>
        <x:v>225365</x:v>
      </x:c>
      <x:c r="M73" s="23" t="n">
        <x:f>IF('Setup'!$B$22&gt;0,"",IF(J73=0,0,K73/J73))</x:f>
        <x:v>1</x:v>
      </x:c>
      <x:c r="N73" s="25" t="n">
        <x:f>IF('Setup'!$B$22&gt;0,"",SUM('Capacity'!Z105:Z107)*C73)</x:f>
        <x:v>10704.48</x:v>
      </x:c>
      <x:c r="O73" s="25" t="n">
        <x:f>IF('Setup'!$B$22&gt;0,"",SUM('Capacity'!Q105:Q107)*C73)</x:f>
        <x:v>1879.1999999999998</x:v>
      </x:c>
      <x:c r="P73" s="1" t="str">
        <x:f>IF('Setup'!$B$22&gt;0,"",IF(C73=0,"Closed",INDEX('Processes'!$A$6:$A$8,MATCH(J73,G73:I73,0))))</x:f>
        <x:v>Ship</x:v>
      </x:c>
      <x:c r="Q73" s="1" t="n">
        <x:f>IF('Setup'!$B$22&gt;0,"",IF(C73=0,0,MAX(0,ROUNDUP(F73/'Capacity'!X105-'Capacity'!Y105,0)-'Capacity'!G105)))</x:f>
        <x:v>884</x:v>
      </x:c>
      <x:c r="R73" s="1" t="n">
        <x:f>IF('Setup'!$B$22&gt;0,"",IF(C73=0,0,MAX(0,ROUNDUP(F73/'Capacity'!X106-'Capacity'!Y106,0)-'Capacity'!G106)))</x:f>
        <x:v>738</x:v>
      </x:c>
      <x:c r="S73" s="1" t="n">
        <x:f>IF('Setup'!$B$22&gt;0,"",IF(C73=0,0,MAX(0,ROUNDUP(F73/'Capacity'!X107-'Capacity'!Y107,0)-'Capacity'!G107)))</x:f>
        <x:v>443</x:v>
      </x:c>
      <x:c r="T73" s="1" t="str">
        <x:f>IF('Setup'!$B$22&gt;0,"",IF(C73=0,IF(L73&gt;'Setup'!$B$7,"Backlog on closed day","Closed"),IF(OR(V73&gt;0,W73&gt;0),"Resolve staffing limits",IF(U73&gt;0,"Resolve physical limit",IF(L73&gt;'Setup'!$B$7,"Close labor capacity gap",IF(L73&gt;0,"Backlog below threshold","Within daily capacity"))))))</x:f>
        <x:v>Resolve physical limit</x:v>
      </x:c>
      <x:c r="U73" s="1" t="n">
        <x:f>IF('Setup'!$B$22&gt;0,"",IF(C73=0,0,MAX(0,F73-INT(MIN('Capacity'!M105:M107)))))</x:f>
        <x:v>225181</x:v>
      </x:c>
      <x:c r="V73" s="1" t="n">
        <x:f>IF('Setup'!$B$22&gt;0,"",SUM('Capacity'!T105:T107)*C73)</x:f>
        <x:v>0</x:v>
      </x:c>
      <x:c r="W73" s="1" t="n">
        <x:f>IF('Setup'!$B$22&gt;0,"",SUM('Capacity'!W105:W107)*C73)</x:f>
        <x:v>0</x:v>
      </x:c>
    </x:row>
    <x:row r="74" ht="23" customHeight="1">
      <x:c r="A74" s="20" t="n">
        <x:f>IF('Setup'!$B$22&gt;0,"",'Demand'!A74)</x:f>
        <x:v>46368</x:v>
      </x:c>
      <x:c r="B74" s="1" t="n">
        <x:f>IF('Setup'!$B$22&gt;0,"",'Demand'!B74)</x:f>
        <x:v>10</x:v>
      </x:c>
      <x:c r="C74" s="1" t="n">
        <x:f>IF('Setup'!$B$22&gt;0,"",'Demand'!C74)</x:f>
        <x:v>0</x:v>
      </x:c>
      <x:c r="D74" s="24" t="n">
        <x:f>IF('Setup'!$B$22&gt;0,"",ROUND('Demand'!D74*'Setup'!B19,0))</x:f>
        <x:v>0</x:v>
      </x:c>
      <x:c r="E74" s="24" t="n">
        <x:f>IF('Setup'!$B$22&gt;0,"",L73)</x:f>
        <x:v>225365</x:v>
      </x:c>
      <x:c r="F74" s="24" t="n">
        <x:f>IF('Setup'!$B$22&gt;0,"",D74+E74)</x:f>
        <x:v>225365</x:v>
      </x:c>
      <x:c r="G74" s="24" t="n">
        <x:f>IF('Setup'!$B$22&gt;0,"",'Capacity'!N105*C74)</x:f>
        <x:v>0</x:v>
      </x:c>
      <x:c r="H74" s="24" t="n">
        <x:f>IF('Setup'!$B$22&gt;0,"",'Capacity'!N106*C74)</x:f>
        <x:v>0</x:v>
      </x:c>
      <x:c r="I74" s="24" t="n">
        <x:f>IF('Setup'!$B$22&gt;0,"",'Capacity'!N107*C74)</x:f>
        <x:v>0</x:v>
      </x:c>
      <x:c r="J74" s="24" t="n">
        <x:f>IF('Setup'!$B$22&gt;0,"",MIN(G74:I74))</x:f>
        <x:v>0</x:v>
      </x:c>
      <x:c r="K74" s="24" t="n">
        <x:f>IF('Setup'!$B$22&gt;0,"",MIN(F74,J74))</x:f>
        <x:v>0</x:v>
      </x:c>
      <x:c r="L74" s="24" t="n">
        <x:f>IF('Setup'!$B$22&gt;0,"",MAX(0,F74-K74))</x:f>
        <x:v>225365</x:v>
      </x:c>
      <x:c r="M74" s="23" t="n">
        <x:f>IF('Setup'!$B$22&gt;0,"",IF(J74=0,0,K74/J74))</x:f>
        <x:v>0</x:v>
      </x:c>
      <x:c r="N74" s="25" t="n">
        <x:f>IF('Setup'!$B$22&gt;0,"",SUM('Capacity'!Z105:Z107)*C74)</x:f>
        <x:v>0</x:v>
      </x:c>
      <x:c r="O74" s="25" t="n">
        <x:f>IF('Setup'!$B$22&gt;0,"",SUM('Capacity'!Q105:Q107)*C74)</x:f>
        <x:v>0</x:v>
      </x:c>
      <x:c r="P74" s="1" t="str">
        <x:f>IF('Setup'!$B$22&gt;0,"",IF(C74=0,"Closed",INDEX('Processes'!$A$6:$A$8,MATCH(J74,G74:I74,0))))</x:f>
        <x:v>Closed</x:v>
      </x:c>
      <x:c r="Q74" s="1" t="n">
        <x:f>IF('Setup'!$B$22&gt;0,"",IF(C74=0,0,MAX(0,ROUNDUP(F74/'Capacity'!X105-'Capacity'!Y105,0)-'Capacity'!G105)))</x:f>
        <x:v>0</x:v>
      </x:c>
      <x:c r="R74" s="1" t="n">
        <x:f>IF('Setup'!$B$22&gt;0,"",IF(C74=0,0,MAX(0,ROUNDUP(F74/'Capacity'!X106-'Capacity'!Y106,0)-'Capacity'!G106)))</x:f>
        <x:v>0</x:v>
      </x:c>
      <x:c r="S74" s="1" t="n">
        <x:f>IF('Setup'!$B$22&gt;0,"",IF(C74=0,0,MAX(0,ROUNDUP(F74/'Capacity'!X107-'Capacity'!Y107,0)-'Capacity'!G107)))</x:f>
        <x:v>0</x:v>
      </x:c>
      <x:c r="T74" s="1" t="str">
        <x:f>IF('Setup'!$B$22&gt;0,"",IF(C74=0,IF(L74&gt;'Setup'!$B$7,"Backlog on closed day","Closed"),IF(OR(V74&gt;0,W74&gt;0),"Resolve staffing limits",IF(U74&gt;0,"Resolve physical limit",IF(L74&gt;'Setup'!$B$7,"Close labor capacity gap",IF(L74&gt;0,"Backlog below threshold","Within daily capacity"))))))</x:f>
        <x:v>Backlog on closed day</x:v>
      </x:c>
      <x:c r="U74" s="1" t="n">
        <x:f>IF('Setup'!$B$22&gt;0,"",IF(C74=0,0,MAX(0,F74-INT(MIN('Capacity'!M105:M107)))))</x:f>
        <x:v>0</x:v>
      </x:c>
      <x:c r="V74" s="1" t="n">
        <x:f>IF('Setup'!$B$22&gt;0,"",SUM('Capacity'!T105:T107)*C74)</x:f>
        <x:v>0</x:v>
      </x:c>
      <x:c r="W74" s="1" t="n">
        <x:f>IF('Setup'!$B$22&gt;0,"",SUM('Capacity'!W105:W107)*C74)</x:f>
        <x:v>0</x:v>
      </x:c>
    </x:row>
    <x:row r="75" ht="23" customHeight="1">
      <x:c r="A75" s="20" t="n">
        <x:f>IF('Setup'!$B$22&gt;0,"",'Demand'!A75)</x:f>
        <x:v>46369</x:v>
      </x:c>
      <x:c r="B75" s="1" t="n">
        <x:f>IF('Setup'!$B$22&gt;0,"",'Demand'!B75)</x:f>
        <x:v>10</x:v>
      </x:c>
      <x:c r="C75" s="1" t="n">
        <x:f>IF('Setup'!$B$22&gt;0,"",'Demand'!C75)</x:f>
        <x:v>0</x:v>
      </x:c>
      <x:c r="D75" s="24" t="n">
        <x:f>IF('Setup'!$B$22&gt;0,"",ROUND('Demand'!D75*'Setup'!B19,0))</x:f>
        <x:v>0</x:v>
      </x:c>
      <x:c r="E75" s="24" t="n">
        <x:f>IF('Setup'!$B$22&gt;0,"",L74)</x:f>
        <x:v>225365</x:v>
      </x:c>
      <x:c r="F75" s="24" t="n">
        <x:f>IF('Setup'!$B$22&gt;0,"",D75+E75)</x:f>
        <x:v>225365</x:v>
      </x:c>
      <x:c r="G75" s="24" t="n">
        <x:f>IF('Setup'!$B$22&gt;0,"",'Capacity'!N105*C75)</x:f>
        <x:v>0</x:v>
      </x:c>
      <x:c r="H75" s="24" t="n">
        <x:f>IF('Setup'!$B$22&gt;0,"",'Capacity'!N106*C75)</x:f>
        <x:v>0</x:v>
      </x:c>
      <x:c r="I75" s="24" t="n">
        <x:f>IF('Setup'!$B$22&gt;0,"",'Capacity'!N107*C75)</x:f>
        <x:v>0</x:v>
      </x:c>
      <x:c r="J75" s="24" t="n">
        <x:f>IF('Setup'!$B$22&gt;0,"",MIN(G75:I75))</x:f>
        <x:v>0</x:v>
      </x:c>
      <x:c r="K75" s="24" t="n">
        <x:f>IF('Setup'!$B$22&gt;0,"",MIN(F75,J75))</x:f>
        <x:v>0</x:v>
      </x:c>
      <x:c r="L75" s="24" t="n">
        <x:f>IF('Setup'!$B$22&gt;0,"",MAX(0,F75-K75))</x:f>
        <x:v>225365</x:v>
      </x:c>
      <x:c r="M75" s="23" t="n">
        <x:f>IF('Setup'!$B$22&gt;0,"",IF(J75=0,0,K75/J75))</x:f>
        <x:v>0</x:v>
      </x:c>
      <x:c r="N75" s="25" t="n">
        <x:f>IF('Setup'!$B$22&gt;0,"",SUM('Capacity'!Z105:Z107)*C75)</x:f>
        <x:v>0</x:v>
      </x:c>
      <x:c r="O75" s="25" t="n">
        <x:f>IF('Setup'!$B$22&gt;0,"",SUM('Capacity'!Q105:Q107)*C75)</x:f>
        <x:v>0</x:v>
      </x:c>
      <x:c r="P75" s="1" t="str">
        <x:f>IF('Setup'!$B$22&gt;0,"",IF(C75=0,"Closed",INDEX('Processes'!$A$6:$A$8,MATCH(J75,G75:I75,0))))</x:f>
        <x:v>Closed</x:v>
      </x:c>
      <x:c r="Q75" s="1" t="n">
        <x:f>IF('Setup'!$B$22&gt;0,"",IF(C75=0,0,MAX(0,ROUNDUP(F75/'Capacity'!X105-'Capacity'!Y105,0)-'Capacity'!G105)))</x:f>
        <x:v>0</x:v>
      </x:c>
      <x:c r="R75" s="1" t="n">
        <x:f>IF('Setup'!$B$22&gt;0,"",IF(C75=0,0,MAX(0,ROUNDUP(F75/'Capacity'!X106-'Capacity'!Y106,0)-'Capacity'!G106)))</x:f>
        <x:v>0</x:v>
      </x:c>
      <x:c r="S75" s="1" t="n">
        <x:f>IF('Setup'!$B$22&gt;0,"",IF(C75=0,0,MAX(0,ROUNDUP(F75/'Capacity'!X107-'Capacity'!Y107,0)-'Capacity'!G107)))</x:f>
        <x:v>0</x:v>
      </x:c>
      <x:c r="T75" s="1" t="str">
        <x:f>IF('Setup'!$B$22&gt;0,"",IF(C75=0,IF(L75&gt;'Setup'!$B$7,"Backlog on closed day","Closed"),IF(OR(V75&gt;0,W75&gt;0),"Resolve staffing limits",IF(U75&gt;0,"Resolve physical limit",IF(L75&gt;'Setup'!$B$7,"Close labor capacity gap",IF(L75&gt;0,"Backlog below threshold","Within daily capacity"))))))</x:f>
        <x:v>Backlog on closed day</x:v>
      </x:c>
      <x:c r="U75" s="1" t="n">
        <x:f>IF('Setup'!$B$22&gt;0,"",IF(C75=0,0,MAX(0,F75-INT(MIN('Capacity'!M105:M107)))))</x:f>
        <x:v>0</x:v>
      </x:c>
      <x:c r="V75" s="1" t="n">
        <x:f>IF('Setup'!$B$22&gt;0,"",SUM('Capacity'!T105:T107)*C75)</x:f>
        <x:v>0</x:v>
      </x:c>
      <x:c r="W75" s="1" t="n">
        <x:f>IF('Setup'!$B$22&gt;0,"",SUM('Capacity'!W105:W107)*C75)</x:f>
        <x:v>0</x:v>
      </x:c>
    </x:row>
    <x:row r="76" ht="23" customHeight="1">
      <x:c r="A76" s="20" t="n">
        <x:f>IF('Setup'!$B$22&gt;0,"",'Demand'!A76)</x:f>
        <x:v>46370</x:v>
      </x:c>
      <x:c r="B76" s="1" t="n">
        <x:f>IF('Setup'!$B$22&gt;0,"",'Demand'!B76)</x:f>
        <x:v>11</x:v>
      </x:c>
      <x:c r="C76" s="1" t="n">
        <x:f>IF('Setup'!$B$22&gt;0,"",'Demand'!C76)</x:f>
        <x:v>1</x:v>
      </x:c>
      <x:c r="D76" s="24" t="n">
        <x:f>IF('Setup'!$B$22&gt;0,"",ROUND('Demand'!D76*'Setup'!B19,0))</x:f>
        <x:v>8800</x:v>
      </x:c>
      <x:c r="E76" s="24" t="n">
        <x:f>IF('Setup'!$B$22&gt;0,"",L75)</x:f>
        <x:v>225365</x:v>
      </x:c>
      <x:c r="F76" s="24" t="n">
        <x:f>IF('Setup'!$B$22&gt;0,"",D76+E76)</x:f>
        <x:v>234165</x:v>
      </x:c>
      <x:c r="G76" s="24" t="n">
        <x:f>IF('Setup'!$B$22&gt;0,"",'Capacity'!N108*C76)</x:f>
        <x:v>7125</x:v>
      </x:c>
      <x:c r="H76" s="24" t="n">
        <x:f>IF('Setup'!$B$22&gt;0,"",'Capacity'!N109*C76)</x:f>
        <x:v>6718</x:v>
      </x:c>
      <x:c r="I76" s="24" t="n">
        <x:f>IF('Setup'!$B$22&gt;0,"",'Capacity'!N110*C76)</x:f>
        <x:v>6616</x:v>
      </x:c>
      <x:c r="J76" s="24" t="n">
        <x:f>IF('Setup'!$B$22&gt;0,"",MIN(G76:I76))</x:f>
        <x:v>6616</x:v>
      </x:c>
      <x:c r="K76" s="24" t="n">
        <x:f>IF('Setup'!$B$22&gt;0,"",MIN(F76,J76))</x:f>
        <x:v>6616</x:v>
      </x:c>
      <x:c r="L76" s="24" t="n">
        <x:f>IF('Setup'!$B$22&gt;0,"",MAX(0,F76-K76))</x:f>
        <x:v>227549</x:v>
      </x:c>
      <x:c r="M76" s="23" t="n">
        <x:f>IF('Setup'!$B$22&gt;0,"",IF(J76=0,0,K76/J76))</x:f>
        <x:v>1</x:v>
      </x:c>
      <x:c r="N76" s="25" t="n">
        <x:f>IF('Setup'!$B$22&gt;0,"",SUM('Capacity'!Z108:Z110)*C76)</x:f>
        <x:v>10704.48</x:v>
      </x:c>
      <x:c r="O76" s="25" t="n">
        <x:f>IF('Setup'!$B$22&gt;0,"",SUM('Capacity'!Q108:Q110)*C76)</x:f>
        <x:v>1879.1999999999998</x:v>
      </x:c>
      <x:c r="P76" s="1" t="str">
        <x:f>IF('Setup'!$B$22&gt;0,"",IF(C76=0,"Closed",INDEX('Processes'!$A$6:$A$8,MATCH(J76,G76:I76,0))))</x:f>
        <x:v>Ship</x:v>
      </x:c>
      <x:c r="Q76" s="1" t="n">
        <x:f>IF('Setup'!$B$22&gt;0,"",IF(C76=0,0,MAX(0,ROUNDUP(F76/'Capacity'!X108-'Capacity'!Y108,0)-'Capacity'!G108)))</x:f>
        <x:v>893</x:v>
      </x:c>
      <x:c r="R76" s="1" t="n">
        <x:f>IF('Setup'!$B$22&gt;0,"",IF(C76=0,0,MAX(0,ROUNDUP(F76/'Capacity'!X109-'Capacity'!Y109,0)-'Capacity'!G109)))</x:f>
        <x:v>745</x:v>
      </x:c>
      <x:c r="S76" s="1" t="n">
        <x:f>IF('Setup'!$B$22&gt;0,"",IF(C76=0,0,MAX(0,ROUNDUP(F76/'Capacity'!X110-'Capacity'!Y110,0)-'Capacity'!G110)))</x:f>
        <x:v>448</x:v>
      </x:c>
      <x:c r="T76" s="1" t="str">
        <x:f>IF('Setup'!$B$22&gt;0,"",IF(C76=0,IF(L76&gt;'Setup'!$B$7,"Backlog on closed day","Closed"),IF(OR(V76&gt;0,W76&gt;0),"Resolve staffing limits",IF(U76&gt;0,"Resolve physical limit",IF(L76&gt;'Setup'!$B$7,"Close labor capacity gap",IF(L76&gt;0,"Backlog below threshold","Within daily capacity"))))))</x:f>
        <x:v>Resolve physical limit</x:v>
      </x:c>
      <x:c r="U76" s="1" t="n">
        <x:f>IF('Setup'!$B$22&gt;0,"",IF(C76=0,0,MAX(0,F76-INT(MIN('Capacity'!M108:M110)))))</x:f>
        <x:v>227365</x:v>
      </x:c>
      <x:c r="V76" s="1" t="n">
        <x:f>IF('Setup'!$B$22&gt;0,"",SUM('Capacity'!T108:T110)*C76)</x:f>
        <x:v>0</x:v>
      </x:c>
      <x:c r="W76" s="1" t="n">
        <x:f>IF('Setup'!$B$22&gt;0,"",SUM('Capacity'!W108:W110)*C76)</x:f>
        <x:v>0</x:v>
      </x:c>
    </x:row>
    <x:row r="77" ht="23" customHeight="1">
      <x:c r="A77" s="20" t="n">
        <x:f>IF('Setup'!$B$22&gt;0,"",'Demand'!A77)</x:f>
        <x:v>46371</x:v>
      </x:c>
      <x:c r="B77" s="1" t="n">
        <x:f>IF('Setup'!$B$22&gt;0,"",'Demand'!B77)</x:f>
        <x:v>11</x:v>
      </x:c>
      <x:c r="C77" s="1" t="n">
        <x:f>IF('Setup'!$B$22&gt;0,"",'Demand'!C77)</x:f>
        <x:v>1</x:v>
      </x:c>
      <x:c r="D77" s="24" t="n">
        <x:f>IF('Setup'!$B$22&gt;0,"",ROUND('Demand'!D77*'Setup'!B19,0))</x:f>
        <x:v>8800</x:v>
      </x:c>
      <x:c r="E77" s="24" t="n">
        <x:f>IF('Setup'!$B$22&gt;0,"",L76)</x:f>
        <x:v>227549</x:v>
      </x:c>
      <x:c r="F77" s="24" t="n">
        <x:f>IF('Setup'!$B$22&gt;0,"",D77+E77)</x:f>
        <x:v>236349</x:v>
      </x:c>
      <x:c r="G77" s="24" t="n">
        <x:f>IF('Setup'!$B$22&gt;0,"",'Capacity'!N108*C77)</x:f>
        <x:v>7125</x:v>
      </x:c>
      <x:c r="H77" s="24" t="n">
        <x:f>IF('Setup'!$B$22&gt;0,"",'Capacity'!N109*C77)</x:f>
        <x:v>6718</x:v>
      </x:c>
      <x:c r="I77" s="24" t="n">
        <x:f>IF('Setup'!$B$22&gt;0,"",'Capacity'!N110*C77)</x:f>
        <x:v>6616</x:v>
      </x:c>
      <x:c r="J77" s="24" t="n">
        <x:f>IF('Setup'!$B$22&gt;0,"",MIN(G77:I77))</x:f>
        <x:v>6616</x:v>
      </x:c>
      <x:c r="K77" s="24" t="n">
        <x:f>IF('Setup'!$B$22&gt;0,"",MIN(F77,J77))</x:f>
        <x:v>6616</x:v>
      </x:c>
      <x:c r="L77" s="24" t="n">
        <x:f>IF('Setup'!$B$22&gt;0,"",MAX(0,F77-K77))</x:f>
        <x:v>229733</x:v>
      </x:c>
      <x:c r="M77" s="23" t="n">
        <x:f>IF('Setup'!$B$22&gt;0,"",IF(J77=0,0,K77/J77))</x:f>
        <x:v>1</x:v>
      </x:c>
      <x:c r="N77" s="25" t="n">
        <x:f>IF('Setup'!$B$22&gt;0,"",SUM('Capacity'!Z108:Z110)*C77)</x:f>
        <x:v>10704.48</x:v>
      </x:c>
      <x:c r="O77" s="25" t="n">
        <x:f>IF('Setup'!$B$22&gt;0,"",SUM('Capacity'!Q108:Q110)*C77)</x:f>
        <x:v>1879.1999999999998</x:v>
      </x:c>
      <x:c r="P77" s="1" t="str">
        <x:f>IF('Setup'!$B$22&gt;0,"",IF(C77=0,"Closed",INDEX('Processes'!$A$6:$A$8,MATCH(J77,G77:I77,0))))</x:f>
        <x:v>Ship</x:v>
      </x:c>
      <x:c r="Q77" s="1" t="n">
        <x:f>IF('Setup'!$B$22&gt;0,"",IF(C77=0,0,MAX(0,ROUNDUP(F77/'Capacity'!X108-'Capacity'!Y108,0)-'Capacity'!G108)))</x:f>
        <x:v>901</x:v>
      </x:c>
      <x:c r="R77" s="1" t="n">
        <x:f>IF('Setup'!$B$22&gt;0,"",IF(C77=0,0,MAX(0,ROUNDUP(F77/'Capacity'!X109-'Capacity'!Y109,0)-'Capacity'!G109)))</x:f>
        <x:v>752</x:v>
      </x:c>
      <x:c r="S77" s="1" t="n">
        <x:f>IF('Setup'!$B$22&gt;0,"",IF(C77=0,0,MAX(0,ROUNDUP(F77/'Capacity'!X110-'Capacity'!Y110,0)-'Capacity'!G110)))</x:f>
        <x:v>452</x:v>
      </x:c>
      <x:c r="T77" s="1" t="str">
        <x:f>IF('Setup'!$B$22&gt;0,"",IF(C77=0,IF(L77&gt;'Setup'!$B$7,"Backlog on closed day","Closed"),IF(OR(V77&gt;0,W77&gt;0),"Resolve staffing limits",IF(U77&gt;0,"Resolve physical limit",IF(L77&gt;'Setup'!$B$7,"Close labor capacity gap",IF(L77&gt;0,"Backlog below threshold","Within daily capacity"))))))</x:f>
        <x:v>Resolve physical limit</x:v>
      </x:c>
      <x:c r="U77" s="1" t="n">
        <x:f>IF('Setup'!$B$22&gt;0,"",IF(C77=0,0,MAX(0,F77-INT(MIN('Capacity'!M108:M110)))))</x:f>
        <x:v>229549</x:v>
      </x:c>
      <x:c r="V77" s="1" t="n">
        <x:f>IF('Setup'!$B$22&gt;0,"",SUM('Capacity'!T108:T110)*C77)</x:f>
        <x:v>0</x:v>
      </x:c>
      <x:c r="W77" s="1" t="n">
        <x:f>IF('Setup'!$B$22&gt;0,"",SUM('Capacity'!W108:W110)*C77)</x:f>
        <x:v>0</x:v>
      </x:c>
    </x:row>
    <x:row r="78" ht="23" customHeight="1">
      <x:c r="A78" s="20" t="n">
        <x:f>IF('Setup'!$B$22&gt;0,"",'Demand'!A78)</x:f>
        <x:v>46372</x:v>
      </x:c>
      <x:c r="B78" s="1" t="n">
        <x:f>IF('Setup'!$B$22&gt;0,"",'Demand'!B78)</x:f>
        <x:v>11</x:v>
      </x:c>
      <x:c r="C78" s="1" t="n">
        <x:f>IF('Setup'!$B$22&gt;0,"",'Demand'!C78)</x:f>
        <x:v>1</x:v>
      </x:c>
      <x:c r="D78" s="24" t="n">
        <x:f>IF('Setup'!$B$22&gt;0,"",ROUND('Demand'!D78*'Setup'!B19,0))</x:f>
        <x:v>8800</x:v>
      </x:c>
      <x:c r="E78" s="24" t="n">
        <x:f>IF('Setup'!$B$22&gt;0,"",L77)</x:f>
        <x:v>229733</x:v>
      </x:c>
      <x:c r="F78" s="24" t="n">
        <x:f>IF('Setup'!$B$22&gt;0,"",D78+E78)</x:f>
        <x:v>238533</x:v>
      </x:c>
      <x:c r="G78" s="24" t="n">
        <x:f>IF('Setup'!$B$22&gt;0,"",'Capacity'!N108*C78)</x:f>
        <x:v>7125</x:v>
      </x:c>
      <x:c r="H78" s="24" t="n">
        <x:f>IF('Setup'!$B$22&gt;0,"",'Capacity'!N109*C78)</x:f>
        <x:v>6718</x:v>
      </x:c>
      <x:c r="I78" s="24" t="n">
        <x:f>IF('Setup'!$B$22&gt;0,"",'Capacity'!N110*C78)</x:f>
        <x:v>6616</x:v>
      </x:c>
      <x:c r="J78" s="24" t="n">
        <x:f>IF('Setup'!$B$22&gt;0,"",MIN(G78:I78))</x:f>
        <x:v>6616</x:v>
      </x:c>
      <x:c r="K78" s="24" t="n">
        <x:f>IF('Setup'!$B$22&gt;0,"",MIN(F78,J78))</x:f>
        <x:v>6616</x:v>
      </x:c>
      <x:c r="L78" s="24" t="n">
        <x:f>IF('Setup'!$B$22&gt;0,"",MAX(0,F78-K78))</x:f>
        <x:v>231917</x:v>
      </x:c>
      <x:c r="M78" s="23" t="n">
        <x:f>IF('Setup'!$B$22&gt;0,"",IF(J78=0,0,K78/J78))</x:f>
        <x:v>1</x:v>
      </x:c>
      <x:c r="N78" s="25" t="n">
        <x:f>IF('Setup'!$B$22&gt;0,"",SUM('Capacity'!Z108:Z110)*C78)</x:f>
        <x:v>10704.48</x:v>
      </x:c>
      <x:c r="O78" s="25" t="n">
        <x:f>IF('Setup'!$B$22&gt;0,"",SUM('Capacity'!Q108:Q110)*C78)</x:f>
        <x:v>1879.1999999999998</x:v>
      </x:c>
      <x:c r="P78" s="1" t="str">
        <x:f>IF('Setup'!$B$22&gt;0,"",IF(C78=0,"Closed",INDEX('Processes'!$A$6:$A$8,MATCH(J78,G78:I78,0))))</x:f>
        <x:v>Ship</x:v>
      </x:c>
      <x:c r="Q78" s="1" t="n">
        <x:f>IF('Setup'!$B$22&gt;0,"",IF(C78=0,0,MAX(0,ROUNDUP(F78/'Capacity'!X108-'Capacity'!Y108,0)-'Capacity'!G108)))</x:f>
        <x:v>910</x:v>
      </x:c>
      <x:c r="R78" s="1" t="n">
        <x:f>IF('Setup'!$B$22&gt;0,"",IF(C78=0,0,MAX(0,ROUNDUP(F78/'Capacity'!X109-'Capacity'!Y109,0)-'Capacity'!G109)))</x:f>
        <x:v>760</x:v>
      </x:c>
      <x:c r="S78" s="1" t="n">
        <x:f>IF('Setup'!$B$22&gt;0,"",IF(C78=0,0,MAX(0,ROUNDUP(F78/'Capacity'!X110-'Capacity'!Y110,0)-'Capacity'!G110)))</x:f>
        <x:v>456</x:v>
      </x:c>
      <x:c r="T78" s="1" t="str">
        <x:f>IF('Setup'!$B$22&gt;0,"",IF(C78=0,IF(L78&gt;'Setup'!$B$7,"Backlog on closed day","Closed"),IF(OR(V78&gt;0,W78&gt;0),"Resolve staffing limits",IF(U78&gt;0,"Resolve physical limit",IF(L78&gt;'Setup'!$B$7,"Close labor capacity gap",IF(L78&gt;0,"Backlog below threshold","Within daily capacity"))))))</x:f>
        <x:v>Resolve physical limit</x:v>
      </x:c>
      <x:c r="U78" s="1" t="n">
        <x:f>IF('Setup'!$B$22&gt;0,"",IF(C78=0,0,MAX(0,F78-INT(MIN('Capacity'!M108:M110)))))</x:f>
        <x:v>231733</x:v>
      </x:c>
      <x:c r="V78" s="1" t="n">
        <x:f>IF('Setup'!$B$22&gt;0,"",SUM('Capacity'!T108:T110)*C78)</x:f>
        <x:v>0</x:v>
      </x:c>
      <x:c r="W78" s="1" t="n">
        <x:f>IF('Setup'!$B$22&gt;0,"",SUM('Capacity'!W108:W110)*C78)</x:f>
        <x:v>0</x:v>
      </x:c>
    </x:row>
    <x:row r="79" ht="23" customHeight="1">
      <x:c r="A79" s="20" t="n">
        <x:f>IF('Setup'!$B$22&gt;0,"",'Demand'!A79)</x:f>
        <x:v>46373</x:v>
      </x:c>
      <x:c r="B79" s="1" t="n">
        <x:f>IF('Setup'!$B$22&gt;0,"",'Demand'!B79)</x:f>
        <x:v>11</x:v>
      </x:c>
      <x:c r="C79" s="1" t="n">
        <x:f>IF('Setup'!$B$22&gt;0,"",'Demand'!C79)</x:f>
        <x:v>1</x:v>
      </x:c>
      <x:c r="D79" s="24" t="n">
        <x:f>IF('Setup'!$B$22&gt;0,"",ROUND('Demand'!D79*'Setup'!B19,0))</x:f>
        <x:v>8800</x:v>
      </x:c>
      <x:c r="E79" s="24" t="n">
        <x:f>IF('Setup'!$B$22&gt;0,"",L78)</x:f>
        <x:v>231917</x:v>
      </x:c>
      <x:c r="F79" s="24" t="n">
        <x:f>IF('Setup'!$B$22&gt;0,"",D79+E79)</x:f>
        <x:v>240717</x:v>
      </x:c>
      <x:c r="G79" s="24" t="n">
        <x:f>IF('Setup'!$B$22&gt;0,"",'Capacity'!N108*C79)</x:f>
        <x:v>7125</x:v>
      </x:c>
      <x:c r="H79" s="24" t="n">
        <x:f>IF('Setup'!$B$22&gt;0,"",'Capacity'!N109*C79)</x:f>
        <x:v>6718</x:v>
      </x:c>
      <x:c r="I79" s="24" t="n">
        <x:f>IF('Setup'!$B$22&gt;0,"",'Capacity'!N110*C79)</x:f>
        <x:v>6616</x:v>
      </x:c>
      <x:c r="J79" s="24" t="n">
        <x:f>IF('Setup'!$B$22&gt;0,"",MIN(G79:I79))</x:f>
        <x:v>6616</x:v>
      </x:c>
      <x:c r="K79" s="24" t="n">
        <x:f>IF('Setup'!$B$22&gt;0,"",MIN(F79,J79))</x:f>
        <x:v>6616</x:v>
      </x:c>
      <x:c r="L79" s="24" t="n">
        <x:f>IF('Setup'!$B$22&gt;0,"",MAX(0,F79-K79))</x:f>
        <x:v>234101</x:v>
      </x:c>
      <x:c r="M79" s="23" t="n">
        <x:f>IF('Setup'!$B$22&gt;0,"",IF(J79=0,0,K79/J79))</x:f>
        <x:v>1</x:v>
      </x:c>
      <x:c r="N79" s="25" t="n">
        <x:f>IF('Setup'!$B$22&gt;0,"",SUM('Capacity'!Z108:Z110)*C79)</x:f>
        <x:v>10704.48</x:v>
      </x:c>
      <x:c r="O79" s="25" t="n">
        <x:f>IF('Setup'!$B$22&gt;0,"",SUM('Capacity'!Q108:Q110)*C79)</x:f>
        <x:v>1879.1999999999998</x:v>
      </x:c>
      <x:c r="P79" s="1" t="str">
        <x:f>IF('Setup'!$B$22&gt;0,"",IF(C79=0,"Closed",INDEX('Processes'!$A$6:$A$8,MATCH(J79,G79:I79,0))))</x:f>
        <x:v>Ship</x:v>
      </x:c>
      <x:c r="Q79" s="1" t="n">
        <x:f>IF('Setup'!$B$22&gt;0,"",IF(C79=0,0,MAX(0,ROUNDUP(F79/'Capacity'!X108-'Capacity'!Y108,0)-'Capacity'!G108)))</x:f>
        <x:v>918</x:v>
      </x:c>
      <x:c r="R79" s="1" t="n">
        <x:f>IF('Setup'!$B$22&gt;0,"",IF(C79=0,0,MAX(0,ROUNDUP(F79/'Capacity'!X109-'Capacity'!Y109,0)-'Capacity'!G109)))</x:f>
        <x:v>767</x:v>
      </x:c>
      <x:c r="S79" s="1" t="n">
        <x:f>IF('Setup'!$B$22&gt;0,"",IF(C79=0,0,MAX(0,ROUNDUP(F79/'Capacity'!X110-'Capacity'!Y110,0)-'Capacity'!G110)))</x:f>
        <x:v>460</x:v>
      </x:c>
      <x:c r="T79" s="1" t="str">
        <x:f>IF('Setup'!$B$22&gt;0,"",IF(C79=0,IF(L79&gt;'Setup'!$B$7,"Backlog on closed day","Closed"),IF(OR(V79&gt;0,W79&gt;0),"Resolve staffing limits",IF(U79&gt;0,"Resolve physical limit",IF(L79&gt;'Setup'!$B$7,"Close labor capacity gap",IF(L79&gt;0,"Backlog below threshold","Within daily capacity"))))))</x:f>
        <x:v>Resolve physical limit</x:v>
      </x:c>
      <x:c r="U79" s="1" t="n">
        <x:f>IF('Setup'!$B$22&gt;0,"",IF(C79=0,0,MAX(0,F79-INT(MIN('Capacity'!M108:M110)))))</x:f>
        <x:v>233917</x:v>
      </x:c>
      <x:c r="V79" s="1" t="n">
        <x:f>IF('Setup'!$B$22&gt;0,"",SUM('Capacity'!T108:T110)*C79)</x:f>
        <x:v>0</x:v>
      </x:c>
      <x:c r="W79" s="1" t="n">
        <x:f>IF('Setup'!$B$22&gt;0,"",SUM('Capacity'!W108:W110)*C79)</x:f>
        <x:v>0</x:v>
      </x:c>
    </x:row>
    <x:row r="80" ht="23" customHeight="1">
      <x:c r="A80" s="20" t="n">
        <x:f>IF('Setup'!$B$22&gt;0,"",'Demand'!A80)</x:f>
        <x:v>46374</x:v>
      </x:c>
      <x:c r="B80" s="1" t="n">
        <x:f>IF('Setup'!$B$22&gt;0,"",'Demand'!B80)</x:f>
        <x:v>11</x:v>
      </x:c>
      <x:c r="C80" s="1" t="n">
        <x:f>IF('Setup'!$B$22&gt;0,"",'Demand'!C80)</x:f>
        <x:v>1</x:v>
      </x:c>
      <x:c r="D80" s="24" t="n">
        <x:f>IF('Setup'!$B$22&gt;0,"",ROUND('Demand'!D80*'Setup'!B19,0))</x:f>
        <x:v>8800</x:v>
      </x:c>
      <x:c r="E80" s="24" t="n">
        <x:f>IF('Setup'!$B$22&gt;0,"",L79)</x:f>
        <x:v>234101</x:v>
      </x:c>
      <x:c r="F80" s="24" t="n">
        <x:f>IF('Setup'!$B$22&gt;0,"",D80+E80)</x:f>
        <x:v>242901</x:v>
      </x:c>
      <x:c r="G80" s="24" t="n">
        <x:f>IF('Setup'!$B$22&gt;0,"",'Capacity'!N108*C80)</x:f>
        <x:v>7125</x:v>
      </x:c>
      <x:c r="H80" s="24" t="n">
        <x:f>IF('Setup'!$B$22&gt;0,"",'Capacity'!N109*C80)</x:f>
        <x:v>6718</x:v>
      </x:c>
      <x:c r="I80" s="24" t="n">
        <x:f>IF('Setup'!$B$22&gt;0,"",'Capacity'!N110*C80)</x:f>
        <x:v>6616</x:v>
      </x:c>
      <x:c r="J80" s="24" t="n">
        <x:f>IF('Setup'!$B$22&gt;0,"",MIN(G80:I80))</x:f>
        <x:v>6616</x:v>
      </x:c>
      <x:c r="K80" s="24" t="n">
        <x:f>IF('Setup'!$B$22&gt;0,"",MIN(F80,J80))</x:f>
        <x:v>6616</x:v>
      </x:c>
      <x:c r="L80" s="24" t="n">
        <x:f>IF('Setup'!$B$22&gt;0,"",MAX(0,F80-K80))</x:f>
        <x:v>236285</x:v>
      </x:c>
      <x:c r="M80" s="23" t="n">
        <x:f>IF('Setup'!$B$22&gt;0,"",IF(J80=0,0,K80/J80))</x:f>
        <x:v>1</x:v>
      </x:c>
      <x:c r="N80" s="25" t="n">
        <x:f>IF('Setup'!$B$22&gt;0,"",SUM('Capacity'!Z108:Z110)*C80)</x:f>
        <x:v>10704.48</x:v>
      </x:c>
      <x:c r="O80" s="25" t="n">
        <x:f>IF('Setup'!$B$22&gt;0,"",SUM('Capacity'!Q108:Q110)*C80)</x:f>
        <x:v>1879.1999999999998</x:v>
      </x:c>
      <x:c r="P80" s="1" t="str">
        <x:f>IF('Setup'!$B$22&gt;0,"",IF(C80=0,"Closed",INDEX('Processes'!$A$6:$A$8,MATCH(J80,G80:I80,0))))</x:f>
        <x:v>Ship</x:v>
      </x:c>
      <x:c r="Q80" s="1" t="n">
        <x:f>IF('Setup'!$B$22&gt;0,"",IF(C80=0,0,MAX(0,ROUNDUP(F80/'Capacity'!X108-'Capacity'!Y108,0)-'Capacity'!G108)))</x:f>
        <x:v>927</x:v>
      </x:c>
      <x:c r="R80" s="1" t="n">
        <x:f>IF('Setup'!$B$22&gt;0,"",IF(C80=0,0,MAX(0,ROUNDUP(F80/'Capacity'!X109-'Capacity'!Y109,0)-'Capacity'!G109)))</x:f>
        <x:v>774</x:v>
      </x:c>
      <x:c r="S80" s="1" t="n">
        <x:f>IF('Setup'!$B$22&gt;0,"",IF(C80=0,0,MAX(0,ROUNDUP(F80/'Capacity'!X110-'Capacity'!Y110,0)-'Capacity'!G110)))</x:f>
        <x:v>465</x:v>
      </x:c>
      <x:c r="T80" s="1" t="str">
        <x:f>IF('Setup'!$B$22&gt;0,"",IF(C80=0,IF(L80&gt;'Setup'!$B$7,"Backlog on closed day","Closed"),IF(OR(V80&gt;0,W80&gt;0),"Resolve staffing limits",IF(U80&gt;0,"Resolve physical limit",IF(L80&gt;'Setup'!$B$7,"Close labor capacity gap",IF(L80&gt;0,"Backlog below threshold","Within daily capacity"))))))</x:f>
        <x:v>Resolve physical limit</x:v>
      </x:c>
      <x:c r="U80" s="1" t="n">
        <x:f>IF('Setup'!$B$22&gt;0,"",IF(C80=0,0,MAX(0,F80-INT(MIN('Capacity'!M108:M110)))))</x:f>
        <x:v>236101</x:v>
      </x:c>
      <x:c r="V80" s="1" t="n">
        <x:f>IF('Setup'!$B$22&gt;0,"",SUM('Capacity'!T108:T110)*C80)</x:f>
        <x:v>0</x:v>
      </x:c>
      <x:c r="W80" s="1" t="n">
        <x:f>IF('Setup'!$B$22&gt;0,"",SUM('Capacity'!W108:W110)*C80)</x:f>
        <x:v>0</x:v>
      </x:c>
    </x:row>
    <x:row r="81" ht="23" customHeight="1">
      <x:c r="A81" s="20" t="n">
        <x:f>IF('Setup'!$B$22&gt;0,"",'Demand'!A81)</x:f>
        <x:v>46375</x:v>
      </x:c>
      <x:c r="B81" s="1" t="n">
        <x:f>IF('Setup'!$B$22&gt;0,"",'Demand'!B81)</x:f>
        <x:v>11</x:v>
      </x:c>
      <x:c r="C81" s="1" t="n">
        <x:f>IF('Setup'!$B$22&gt;0,"",'Demand'!C81)</x:f>
        <x:v>0</x:v>
      </x:c>
      <x:c r="D81" s="24" t="n">
        <x:f>IF('Setup'!$B$22&gt;0,"",ROUND('Demand'!D81*'Setup'!B19,0))</x:f>
        <x:v>0</x:v>
      </x:c>
      <x:c r="E81" s="24" t="n">
        <x:f>IF('Setup'!$B$22&gt;0,"",L80)</x:f>
        <x:v>236285</x:v>
      </x:c>
      <x:c r="F81" s="24" t="n">
        <x:f>IF('Setup'!$B$22&gt;0,"",D81+E81)</x:f>
        <x:v>236285</x:v>
      </x:c>
      <x:c r="G81" s="24" t="n">
        <x:f>IF('Setup'!$B$22&gt;0,"",'Capacity'!N108*C81)</x:f>
        <x:v>0</x:v>
      </x:c>
      <x:c r="H81" s="24" t="n">
        <x:f>IF('Setup'!$B$22&gt;0,"",'Capacity'!N109*C81)</x:f>
        <x:v>0</x:v>
      </x:c>
      <x:c r="I81" s="24" t="n">
        <x:f>IF('Setup'!$B$22&gt;0,"",'Capacity'!N110*C81)</x:f>
        <x:v>0</x:v>
      </x:c>
      <x:c r="J81" s="24" t="n">
        <x:f>IF('Setup'!$B$22&gt;0,"",MIN(G81:I81))</x:f>
        <x:v>0</x:v>
      </x:c>
      <x:c r="K81" s="24" t="n">
        <x:f>IF('Setup'!$B$22&gt;0,"",MIN(F81,J81))</x:f>
        <x:v>0</x:v>
      </x:c>
      <x:c r="L81" s="24" t="n">
        <x:f>IF('Setup'!$B$22&gt;0,"",MAX(0,F81-K81))</x:f>
        <x:v>236285</x:v>
      </x:c>
      <x:c r="M81" s="23" t="n">
        <x:f>IF('Setup'!$B$22&gt;0,"",IF(J81=0,0,K81/J81))</x:f>
        <x:v>0</x:v>
      </x:c>
      <x:c r="N81" s="25" t="n">
        <x:f>IF('Setup'!$B$22&gt;0,"",SUM('Capacity'!Z108:Z110)*C81)</x:f>
        <x:v>0</x:v>
      </x:c>
      <x:c r="O81" s="25" t="n">
        <x:f>IF('Setup'!$B$22&gt;0,"",SUM('Capacity'!Q108:Q110)*C81)</x:f>
        <x:v>0</x:v>
      </x:c>
      <x:c r="P81" s="1" t="str">
        <x:f>IF('Setup'!$B$22&gt;0,"",IF(C81=0,"Closed",INDEX('Processes'!$A$6:$A$8,MATCH(J81,G81:I81,0))))</x:f>
        <x:v>Closed</x:v>
      </x:c>
      <x:c r="Q81" s="1" t="n">
        <x:f>IF('Setup'!$B$22&gt;0,"",IF(C81=0,0,MAX(0,ROUNDUP(F81/'Capacity'!X108-'Capacity'!Y108,0)-'Capacity'!G108)))</x:f>
        <x:v>0</x:v>
      </x:c>
      <x:c r="R81" s="1" t="n">
        <x:f>IF('Setup'!$B$22&gt;0,"",IF(C81=0,0,MAX(0,ROUNDUP(F81/'Capacity'!X109-'Capacity'!Y109,0)-'Capacity'!G109)))</x:f>
        <x:v>0</x:v>
      </x:c>
      <x:c r="S81" s="1" t="n">
        <x:f>IF('Setup'!$B$22&gt;0,"",IF(C81=0,0,MAX(0,ROUNDUP(F81/'Capacity'!X110-'Capacity'!Y110,0)-'Capacity'!G110)))</x:f>
        <x:v>0</x:v>
      </x:c>
      <x:c r="T81" s="1" t="str">
        <x:f>IF('Setup'!$B$22&gt;0,"",IF(C81=0,IF(L81&gt;'Setup'!$B$7,"Backlog on closed day","Closed"),IF(OR(V81&gt;0,W81&gt;0),"Resolve staffing limits",IF(U81&gt;0,"Resolve physical limit",IF(L81&gt;'Setup'!$B$7,"Close labor capacity gap",IF(L81&gt;0,"Backlog below threshold","Within daily capacity"))))))</x:f>
        <x:v>Backlog on closed day</x:v>
      </x:c>
      <x:c r="U81" s="1" t="n">
        <x:f>IF('Setup'!$B$22&gt;0,"",IF(C81=0,0,MAX(0,F81-INT(MIN('Capacity'!M108:M110)))))</x:f>
        <x:v>0</x:v>
      </x:c>
      <x:c r="V81" s="1" t="n">
        <x:f>IF('Setup'!$B$22&gt;0,"",SUM('Capacity'!T108:T110)*C81)</x:f>
        <x:v>0</x:v>
      </x:c>
      <x:c r="W81" s="1" t="n">
        <x:f>IF('Setup'!$B$22&gt;0,"",SUM('Capacity'!W108:W110)*C81)</x:f>
        <x:v>0</x:v>
      </x:c>
    </x:row>
    <x:row r="82" ht="23" customHeight="1">
      <x:c r="A82" s="20" t="n">
        <x:f>IF('Setup'!$B$22&gt;0,"",'Demand'!A82)</x:f>
        <x:v>46376</x:v>
      </x:c>
      <x:c r="B82" s="1" t="n">
        <x:f>IF('Setup'!$B$22&gt;0,"",'Demand'!B82)</x:f>
        <x:v>11</x:v>
      </x:c>
      <x:c r="C82" s="1" t="n">
        <x:f>IF('Setup'!$B$22&gt;0,"",'Demand'!C82)</x:f>
        <x:v>0</x:v>
      </x:c>
      <x:c r="D82" s="24" t="n">
        <x:f>IF('Setup'!$B$22&gt;0,"",ROUND('Demand'!D82*'Setup'!B19,0))</x:f>
        <x:v>0</x:v>
      </x:c>
      <x:c r="E82" s="24" t="n">
        <x:f>IF('Setup'!$B$22&gt;0,"",L81)</x:f>
        <x:v>236285</x:v>
      </x:c>
      <x:c r="F82" s="24" t="n">
        <x:f>IF('Setup'!$B$22&gt;0,"",D82+E82)</x:f>
        <x:v>236285</x:v>
      </x:c>
      <x:c r="G82" s="24" t="n">
        <x:f>IF('Setup'!$B$22&gt;0,"",'Capacity'!N108*C82)</x:f>
        <x:v>0</x:v>
      </x:c>
      <x:c r="H82" s="24" t="n">
        <x:f>IF('Setup'!$B$22&gt;0,"",'Capacity'!N109*C82)</x:f>
        <x:v>0</x:v>
      </x:c>
      <x:c r="I82" s="24" t="n">
        <x:f>IF('Setup'!$B$22&gt;0,"",'Capacity'!N110*C82)</x:f>
        <x:v>0</x:v>
      </x:c>
      <x:c r="J82" s="24" t="n">
        <x:f>IF('Setup'!$B$22&gt;0,"",MIN(G82:I82))</x:f>
        <x:v>0</x:v>
      </x:c>
      <x:c r="K82" s="24" t="n">
        <x:f>IF('Setup'!$B$22&gt;0,"",MIN(F82,J82))</x:f>
        <x:v>0</x:v>
      </x:c>
      <x:c r="L82" s="24" t="n">
        <x:f>IF('Setup'!$B$22&gt;0,"",MAX(0,F82-K82))</x:f>
        <x:v>236285</x:v>
      </x:c>
      <x:c r="M82" s="23" t="n">
        <x:f>IF('Setup'!$B$22&gt;0,"",IF(J82=0,0,K82/J82))</x:f>
        <x:v>0</x:v>
      </x:c>
      <x:c r="N82" s="25" t="n">
        <x:f>IF('Setup'!$B$22&gt;0,"",SUM('Capacity'!Z108:Z110)*C82)</x:f>
        <x:v>0</x:v>
      </x:c>
      <x:c r="O82" s="25" t="n">
        <x:f>IF('Setup'!$B$22&gt;0,"",SUM('Capacity'!Q108:Q110)*C82)</x:f>
        <x:v>0</x:v>
      </x:c>
      <x:c r="P82" s="1" t="str">
        <x:f>IF('Setup'!$B$22&gt;0,"",IF(C82=0,"Closed",INDEX('Processes'!$A$6:$A$8,MATCH(J82,G82:I82,0))))</x:f>
        <x:v>Closed</x:v>
      </x:c>
      <x:c r="Q82" s="1" t="n">
        <x:f>IF('Setup'!$B$22&gt;0,"",IF(C82=0,0,MAX(0,ROUNDUP(F82/'Capacity'!X108-'Capacity'!Y108,0)-'Capacity'!G108)))</x:f>
        <x:v>0</x:v>
      </x:c>
      <x:c r="R82" s="1" t="n">
        <x:f>IF('Setup'!$B$22&gt;0,"",IF(C82=0,0,MAX(0,ROUNDUP(F82/'Capacity'!X109-'Capacity'!Y109,0)-'Capacity'!G109)))</x:f>
        <x:v>0</x:v>
      </x:c>
      <x:c r="S82" s="1" t="n">
        <x:f>IF('Setup'!$B$22&gt;0,"",IF(C82=0,0,MAX(0,ROUNDUP(F82/'Capacity'!X110-'Capacity'!Y110,0)-'Capacity'!G110)))</x:f>
        <x:v>0</x:v>
      </x:c>
      <x:c r="T82" s="1" t="str">
        <x:f>IF('Setup'!$B$22&gt;0,"",IF(C82=0,IF(L82&gt;'Setup'!$B$7,"Backlog on closed day","Closed"),IF(OR(V82&gt;0,W82&gt;0),"Resolve staffing limits",IF(U82&gt;0,"Resolve physical limit",IF(L82&gt;'Setup'!$B$7,"Close labor capacity gap",IF(L82&gt;0,"Backlog below threshold","Within daily capacity"))))))</x:f>
        <x:v>Backlog on closed day</x:v>
      </x:c>
      <x:c r="U82" s="1" t="n">
        <x:f>IF('Setup'!$B$22&gt;0,"",IF(C82=0,0,MAX(0,F82-INT(MIN('Capacity'!M108:M110)))))</x:f>
        <x:v>0</x:v>
      </x:c>
      <x:c r="V82" s="1" t="n">
        <x:f>IF('Setup'!$B$22&gt;0,"",SUM('Capacity'!T108:T110)*C82)</x:f>
        <x:v>0</x:v>
      </x:c>
      <x:c r="W82" s="1" t="n">
        <x:f>IF('Setup'!$B$22&gt;0,"",SUM('Capacity'!W108:W110)*C82)</x:f>
        <x:v>0</x:v>
      </x:c>
    </x:row>
    <x:row r="83" ht="23" customHeight="1">
      <x:c r="A83" s="20" t="n">
        <x:f>IF('Setup'!$B$22&gt;0,"",'Demand'!A83)</x:f>
        <x:v>46377</x:v>
      </x:c>
      <x:c r="B83" s="1" t="n">
        <x:f>IF('Setup'!$B$22&gt;0,"",'Demand'!B83)</x:f>
        <x:v>12</x:v>
      </x:c>
      <x:c r="C83" s="1" t="n">
        <x:f>IF('Setup'!$B$22&gt;0,"",'Demand'!C83)</x:f>
        <x:v>1</x:v>
      </x:c>
      <x:c r="D83" s="24" t="n">
        <x:f>IF('Setup'!$B$22&gt;0,"",ROUND('Demand'!D83*'Setup'!B19,0))</x:f>
        <x:v>7150</x:v>
      </x:c>
      <x:c r="E83" s="24" t="n">
        <x:f>IF('Setup'!$B$22&gt;0,"",L82)</x:f>
        <x:v>236285</x:v>
      </x:c>
      <x:c r="F83" s="24" t="n">
        <x:f>IF('Setup'!$B$22&gt;0,"",D83+E83)</x:f>
        <x:v>243435</x:v>
      </x:c>
      <x:c r="G83" s="24" t="n">
        <x:f>IF('Setup'!$B$22&gt;0,"",'Capacity'!N111*C83)</x:f>
        <x:v>7125</x:v>
      </x:c>
      <x:c r="H83" s="24" t="n">
        <x:f>IF('Setup'!$B$22&gt;0,"",'Capacity'!N112*C83)</x:f>
        <x:v>6718</x:v>
      </x:c>
      <x:c r="I83" s="24" t="n">
        <x:f>IF('Setup'!$B$22&gt;0,"",'Capacity'!N113*C83)</x:f>
        <x:v>6616</x:v>
      </x:c>
      <x:c r="J83" s="24" t="n">
        <x:f>IF('Setup'!$B$22&gt;0,"",MIN(G83:I83))</x:f>
        <x:v>6616</x:v>
      </x:c>
      <x:c r="K83" s="24" t="n">
        <x:f>IF('Setup'!$B$22&gt;0,"",MIN(F83,J83))</x:f>
        <x:v>6616</x:v>
      </x:c>
      <x:c r="L83" s="24" t="n">
        <x:f>IF('Setup'!$B$22&gt;0,"",MAX(0,F83-K83))</x:f>
        <x:v>236819</x:v>
      </x:c>
      <x:c r="M83" s="23" t="n">
        <x:f>IF('Setup'!$B$22&gt;0,"",IF(J83=0,0,K83/J83))</x:f>
        <x:v>1</x:v>
      </x:c>
      <x:c r="N83" s="25" t="n">
        <x:f>IF('Setup'!$B$22&gt;0,"",SUM('Capacity'!Z111:Z113)*C83)</x:f>
        <x:v>10704.48</x:v>
      </x:c>
      <x:c r="O83" s="25" t="n">
        <x:f>IF('Setup'!$B$22&gt;0,"",SUM('Capacity'!Q111:Q113)*C83)</x:f>
        <x:v>1879.1999999999998</x:v>
      </x:c>
      <x:c r="P83" s="1" t="str">
        <x:f>IF('Setup'!$B$22&gt;0,"",IF(C83=0,"Closed",INDEX('Processes'!$A$6:$A$8,MATCH(J83,G83:I83,0))))</x:f>
        <x:v>Ship</x:v>
      </x:c>
      <x:c r="Q83" s="1" t="n">
        <x:f>IF('Setup'!$B$22&gt;0,"",IF(C83=0,0,MAX(0,ROUNDUP(F83/'Capacity'!X111-'Capacity'!Y111,0)-'Capacity'!G111)))</x:f>
        <x:v>929</x:v>
      </x:c>
      <x:c r="R83" s="1" t="n">
        <x:f>IF('Setup'!$B$22&gt;0,"",IF(C83=0,0,MAX(0,ROUNDUP(F83/'Capacity'!X112-'Capacity'!Y112,0)-'Capacity'!G112)))</x:f>
        <x:v>776</x:v>
      </x:c>
      <x:c r="S83" s="1" t="n">
        <x:f>IF('Setup'!$B$22&gt;0,"",IF(C83=0,0,MAX(0,ROUNDUP(F83/'Capacity'!X113-'Capacity'!Y113,0)-'Capacity'!G113)))</x:f>
        <x:v>466</x:v>
      </x:c>
      <x:c r="T83" s="1" t="str">
        <x:f>IF('Setup'!$B$22&gt;0,"",IF(C83=0,IF(L83&gt;'Setup'!$B$7,"Backlog on closed day","Closed"),IF(OR(V83&gt;0,W83&gt;0),"Resolve staffing limits",IF(U83&gt;0,"Resolve physical limit",IF(L83&gt;'Setup'!$B$7,"Close labor capacity gap",IF(L83&gt;0,"Backlog below threshold","Within daily capacity"))))))</x:f>
        <x:v>Resolve physical limit</x:v>
      </x:c>
      <x:c r="U83" s="1" t="n">
        <x:f>IF('Setup'!$B$22&gt;0,"",IF(C83=0,0,MAX(0,F83-INT(MIN('Capacity'!M111:M113)))))</x:f>
        <x:v>236635</x:v>
      </x:c>
      <x:c r="V83" s="1" t="n">
        <x:f>IF('Setup'!$B$22&gt;0,"",SUM('Capacity'!T111:T113)*C83)</x:f>
        <x:v>0</x:v>
      </x:c>
      <x:c r="W83" s="1" t="n">
        <x:f>IF('Setup'!$B$22&gt;0,"",SUM('Capacity'!W111:W113)*C83)</x:f>
        <x:v>0</x:v>
      </x:c>
    </x:row>
    <x:row r="84" ht="23" customHeight="1">
      <x:c r="A84" s="20" t="n">
        <x:f>IF('Setup'!$B$22&gt;0,"",'Demand'!A84)</x:f>
        <x:v>46378</x:v>
      </x:c>
      <x:c r="B84" s="1" t="n">
        <x:f>IF('Setup'!$B$22&gt;0,"",'Demand'!B84)</x:f>
        <x:v>12</x:v>
      </x:c>
      <x:c r="C84" s="1" t="n">
        <x:f>IF('Setup'!$B$22&gt;0,"",'Demand'!C84)</x:f>
        <x:v>1</x:v>
      </x:c>
      <x:c r="D84" s="24" t="n">
        <x:f>IF('Setup'!$B$22&gt;0,"",ROUND('Demand'!D84*'Setup'!B19,0))</x:f>
        <x:v>7150</x:v>
      </x:c>
      <x:c r="E84" s="24" t="n">
        <x:f>IF('Setup'!$B$22&gt;0,"",L83)</x:f>
        <x:v>236819</x:v>
      </x:c>
      <x:c r="F84" s="24" t="n">
        <x:f>IF('Setup'!$B$22&gt;0,"",D84+E84)</x:f>
        <x:v>243969</x:v>
      </x:c>
      <x:c r="G84" s="24" t="n">
        <x:f>IF('Setup'!$B$22&gt;0,"",'Capacity'!N111*C84)</x:f>
        <x:v>7125</x:v>
      </x:c>
      <x:c r="H84" s="24" t="n">
        <x:f>IF('Setup'!$B$22&gt;0,"",'Capacity'!N112*C84)</x:f>
        <x:v>6718</x:v>
      </x:c>
      <x:c r="I84" s="24" t="n">
        <x:f>IF('Setup'!$B$22&gt;0,"",'Capacity'!N113*C84)</x:f>
        <x:v>6616</x:v>
      </x:c>
      <x:c r="J84" s="24" t="n">
        <x:f>IF('Setup'!$B$22&gt;0,"",MIN(G84:I84))</x:f>
        <x:v>6616</x:v>
      </x:c>
      <x:c r="K84" s="24" t="n">
        <x:f>IF('Setup'!$B$22&gt;0,"",MIN(F84,J84))</x:f>
        <x:v>6616</x:v>
      </x:c>
      <x:c r="L84" s="24" t="n">
        <x:f>IF('Setup'!$B$22&gt;0,"",MAX(0,F84-K84))</x:f>
        <x:v>237353</x:v>
      </x:c>
      <x:c r="M84" s="23" t="n">
        <x:f>IF('Setup'!$B$22&gt;0,"",IF(J84=0,0,K84/J84))</x:f>
        <x:v>1</x:v>
      </x:c>
      <x:c r="N84" s="25" t="n">
        <x:f>IF('Setup'!$B$22&gt;0,"",SUM('Capacity'!Z111:Z113)*C84)</x:f>
        <x:v>10704.48</x:v>
      </x:c>
      <x:c r="O84" s="25" t="n">
        <x:f>IF('Setup'!$B$22&gt;0,"",SUM('Capacity'!Q111:Q113)*C84)</x:f>
        <x:v>1879.1999999999998</x:v>
      </x:c>
      <x:c r="P84" s="1" t="str">
        <x:f>IF('Setup'!$B$22&gt;0,"",IF(C84=0,"Closed",INDEX('Processes'!$A$6:$A$8,MATCH(J84,G84:I84,0))))</x:f>
        <x:v>Ship</x:v>
      </x:c>
      <x:c r="Q84" s="1" t="n">
        <x:f>IF('Setup'!$B$22&gt;0,"",IF(C84=0,0,MAX(0,ROUNDUP(F84/'Capacity'!X111-'Capacity'!Y111,0)-'Capacity'!G111)))</x:f>
        <x:v>931</x:v>
      </x:c>
      <x:c r="R84" s="1" t="n">
        <x:f>IF('Setup'!$B$22&gt;0,"",IF(C84=0,0,MAX(0,ROUNDUP(F84/'Capacity'!X112-'Capacity'!Y112,0)-'Capacity'!G112)))</x:f>
        <x:v>777</x:v>
      </x:c>
      <x:c r="S84" s="1" t="n">
        <x:f>IF('Setup'!$B$22&gt;0,"",IF(C84=0,0,MAX(0,ROUNDUP(F84/'Capacity'!X113-'Capacity'!Y113,0)-'Capacity'!G113)))</x:f>
        <x:v>467</x:v>
      </x:c>
      <x:c r="T84" s="1" t="str">
        <x:f>IF('Setup'!$B$22&gt;0,"",IF(C84=0,IF(L84&gt;'Setup'!$B$7,"Backlog on closed day","Closed"),IF(OR(V84&gt;0,W84&gt;0),"Resolve staffing limits",IF(U84&gt;0,"Resolve physical limit",IF(L84&gt;'Setup'!$B$7,"Close labor capacity gap",IF(L84&gt;0,"Backlog below threshold","Within daily capacity"))))))</x:f>
        <x:v>Resolve physical limit</x:v>
      </x:c>
      <x:c r="U84" s="1" t="n">
        <x:f>IF('Setup'!$B$22&gt;0,"",IF(C84=0,0,MAX(0,F84-INT(MIN('Capacity'!M111:M113)))))</x:f>
        <x:v>237169</x:v>
      </x:c>
      <x:c r="V84" s="1" t="n">
        <x:f>IF('Setup'!$B$22&gt;0,"",SUM('Capacity'!T111:T113)*C84)</x:f>
        <x:v>0</x:v>
      </x:c>
      <x:c r="W84" s="1" t="n">
        <x:f>IF('Setup'!$B$22&gt;0,"",SUM('Capacity'!W111:W113)*C84)</x:f>
        <x:v>0</x:v>
      </x:c>
    </x:row>
    <x:row r="85" ht="23" customHeight="1">
      <x:c r="A85" s="20" t="n">
        <x:f>IF('Setup'!$B$22&gt;0,"",'Demand'!A85)</x:f>
        <x:v>46379</x:v>
      </x:c>
      <x:c r="B85" s="1" t="n">
        <x:f>IF('Setup'!$B$22&gt;0,"",'Demand'!B85)</x:f>
        <x:v>12</x:v>
      </x:c>
      <x:c r="C85" s="1" t="n">
        <x:f>IF('Setup'!$B$22&gt;0,"",'Demand'!C85)</x:f>
        <x:v>1</x:v>
      </x:c>
      <x:c r="D85" s="24" t="n">
        <x:f>IF('Setup'!$B$22&gt;0,"",ROUND('Demand'!D85*'Setup'!B19,0))</x:f>
        <x:v>7150</x:v>
      </x:c>
      <x:c r="E85" s="24" t="n">
        <x:f>IF('Setup'!$B$22&gt;0,"",L84)</x:f>
        <x:v>237353</x:v>
      </x:c>
      <x:c r="F85" s="24" t="n">
        <x:f>IF('Setup'!$B$22&gt;0,"",D85+E85)</x:f>
        <x:v>244503</x:v>
      </x:c>
      <x:c r="G85" s="24" t="n">
        <x:f>IF('Setup'!$B$22&gt;0,"",'Capacity'!N111*C85)</x:f>
        <x:v>7125</x:v>
      </x:c>
      <x:c r="H85" s="24" t="n">
        <x:f>IF('Setup'!$B$22&gt;0,"",'Capacity'!N112*C85)</x:f>
        <x:v>6718</x:v>
      </x:c>
      <x:c r="I85" s="24" t="n">
        <x:f>IF('Setup'!$B$22&gt;0,"",'Capacity'!N113*C85)</x:f>
        <x:v>6616</x:v>
      </x:c>
      <x:c r="J85" s="24" t="n">
        <x:f>IF('Setup'!$B$22&gt;0,"",MIN(G85:I85))</x:f>
        <x:v>6616</x:v>
      </x:c>
      <x:c r="K85" s="24" t="n">
        <x:f>IF('Setup'!$B$22&gt;0,"",MIN(F85,J85))</x:f>
        <x:v>6616</x:v>
      </x:c>
      <x:c r="L85" s="24" t="n">
        <x:f>IF('Setup'!$B$22&gt;0,"",MAX(0,F85-K85))</x:f>
        <x:v>237887</x:v>
      </x:c>
      <x:c r="M85" s="23" t="n">
        <x:f>IF('Setup'!$B$22&gt;0,"",IF(J85=0,0,K85/J85))</x:f>
        <x:v>1</x:v>
      </x:c>
      <x:c r="N85" s="25" t="n">
        <x:f>IF('Setup'!$B$22&gt;0,"",SUM('Capacity'!Z111:Z113)*C85)</x:f>
        <x:v>10704.48</x:v>
      </x:c>
      <x:c r="O85" s="25" t="n">
        <x:f>IF('Setup'!$B$22&gt;0,"",SUM('Capacity'!Q111:Q113)*C85)</x:f>
        <x:v>1879.1999999999998</x:v>
      </x:c>
      <x:c r="P85" s="1" t="str">
        <x:f>IF('Setup'!$B$22&gt;0,"",IF(C85=0,"Closed",INDEX('Processes'!$A$6:$A$8,MATCH(J85,G85:I85,0))))</x:f>
        <x:v>Ship</x:v>
      </x:c>
      <x:c r="Q85" s="1" t="n">
        <x:f>IF('Setup'!$B$22&gt;0,"",IF(C85=0,0,MAX(0,ROUNDUP(F85/'Capacity'!X111-'Capacity'!Y111,0)-'Capacity'!G111)))</x:f>
        <x:v>933</x:v>
      </x:c>
      <x:c r="R85" s="1" t="n">
        <x:f>IF('Setup'!$B$22&gt;0,"",IF(C85=0,0,MAX(0,ROUNDUP(F85/'Capacity'!X112-'Capacity'!Y112,0)-'Capacity'!G112)))</x:f>
        <x:v>779</x:v>
      </x:c>
      <x:c r="S85" s="1" t="n">
        <x:f>IF('Setup'!$B$22&gt;0,"",IF(C85=0,0,MAX(0,ROUNDUP(F85/'Capacity'!X113-'Capacity'!Y113,0)-'Capacity'!G113)))</x:f>
        <x:v>468</x:v>
      </x:c>
      <x:c r="T85" s="1" t="str">
        <x:f>IF('Setup'!$B$22&gt;0,"",IF(C85=0,IF(L85&gt;'Setup'!$B$7,"Backlog on closed day","Closed"),IF(OR(V85&gt;0,W85&gt;0),"Resolve staffing limits",IF(U85&gt;0,"Resolve physical limit",IF(L85&gt;'Setup'!$B$7,"Close labor capacity gap",IF(L85&gt;0,"Backlog below threshold","Within daily capacity"))))))</x:f>
        <x:v>Resolve physical limit</x:v>
      </x:c>
      <x:c r="U85" s="1" t="n">
        <x:f>IF('Setup'!$B$22&gt;0,"",IF(C85=0,0,MAX(0,F85-INT(MIN('Capacity'!M111:M113)))))</x:f>
        <x:v>237703</x:v>
      </x:c>
      <x:c r="V85" s="1" t="n">
        <x:f>IF('Setup'!$B$22&gt;0,"",SUM('Capacity'!T111:T113)*C85)</x:f>
        <x:v>0</x:v>
      </x:c>
      <x:c r="W85" s="1" t="n">
        <x:f>IF('Setup'!$B$22&gt;0,"",SUM('Capacity'!W111:W113)*C85)</x:f>
        <x:v>0</x:v>
      </x:c>
    </x:row>
    <x:row r="86" ht="23" customHeight="1">
      <x:c r="A86" s="20" t="n">
        <x:f>IF('Setup'!$B$22&gt;0,"",'Demand'!A86)</x:f>
        <x:v>46380</x:v>
      </x:c>
      <x:c r="B86" s="1" t="n">
        <x:f>IF('Setup'!$B$22&gt;0,"",'Demand'!B86)</x:f>
        <x:v>12</x:v>
      </x:c>
      <x:c r="C86" s="1" t="n">
        <x:f>IF('Setup'!$B$22&gt;0,"",'Demand'!C86)</x:f>
        <x:v>1</x:v>
      </x:c>
      <x:c r="D86" s="24" t="n">
        <x:f>IF('Setup'!$B$22&gt;0,"",ROUND('Demand'!D86*'Setup'!B19,0))</x:f>
        <x:v>7150</x:v>
      </x:c>
      <x:c r="E86" s="24" t="n">
        <x:f>IF('Setup'!$B$22&gt;0,"",L85)</x:f>
        <x:v>237887</x:v>
      </x:c>
      <x:c r="F86" s="24" t="n">
        <x:f>IF('Setup'!$B$22&gt;0,"",D86+E86)</x:f>
        <x:v>245037</x:v>
      </x:c>
      <x:c r="G86" s="24" t="n">
        <x:f>IF('Setup'!$B$22&gt;0,"",'Capacity'!N111*C86)</x:f>
        <x:v>7125</x:v>
      </x:c>
      <x:c r="H86" s="24" t="n">
        <x:f>IF('Setup'!$B$22&gt;0,"",'Capacity'!N112*C86)</x:f>
        <x:v>6718</x:v>
      </x:c>
      <x:c r="I86" s="24" t="n">
        <x:f>IF('Setup'!$B$22&gt;0,"",'Capacity'!N113*C86)</x:f>
        <x:v>6616</x:v>
      </x:c>
      <x:c r="J86" s="24" t="n">
        <x:f>IF('Setup'!$B$22&gt;0,"",MIN(G86:I86))</x:f>
        <x:v>6616</x:v>
      </x:c>
      <x:c r="K86" s="24" t="n">
        <x:f>IF('Setup'!$B$22&gt;0,"",MIN(F86,J86))</x:f>
        <x:v>6616</x:v>
      </x:c>
      <x:c r="L86" s="24" t="n">
        <x:f>IF('Setup'!$B$22&gt;0,"",MAX(0,F86-K86))</x:f>
        <x:v>238421</x:v>
      </x:c>
      <x:c r="M86" s="23" t="n">
        <x:f>IF('Setup'!$B$22&gt;0,"",IF(J86=0,0,K86/J86))</x:f>
        <x:v>1</x:v>
      </x:c>
      <x:c r="N86" s="25" t="n">
        <x:f>IF('Setup'!$B$22&gt;0,"",SUM('Capacity'!Z111:Z113)*C86)</x:f>
        <x:v>10704.48</x:v>
      </x:c>
      <x:c r="O86" s="25" t="n">
        <x:f>IF('Setup'!$B$22&gt;0,"",SUM('Capacity'!Q111:Q113)*C86)</x:f>
        <x:v>1879.1999999999998</x:v>
      </x:c>
      <x:c r="P86" s="1" t="str">
        <x:f>IF('Setup'!$B$22&gt;0,"",IF(C86=0,"Closed",INDEX('Processes'!$A$6:$A$8,MATCH(J86,G86:I86,0))))</x:f>
        <x:v>Ship</x:v>
      </x:c>
      <x:c r="Q86" s="1" t="n">
        <x:f>IF('Setup'!$B$22&gt;0,"",IF(C86=0,0,MAX(0,ROUNDUP(F86/'Capacity'!X111-'Capacity'!Y111,0)-'Capacity'!G111)))</x:f>
        <x:v>935</x:v>
      </x:c>
      <x:c r="R86" s="1" t="n">
        <x:f>IF('Setup'!$B$22&gt;0,"",IF(C86=0,0,MAX(0,ROUNDUP(F86/'Capacity'!X112-'Capacity'!Y112,0)-'Capacity'!G112)))</x:f>
        <x:v>781</x:v>
      </x:c>
      <x:c r="S86" s="1" t="n">
        <x:f>IF('Setup'!$B$22&gt;0,"",IF(C86=0,0,MAX(0,ROUNDUP(F86/'Capacity'!X113-'Capacity'!Y113,0)-'Capacity'!G113)))</x:f>
        <x:v>469</x:v>
      </x:c>
      <x:c r="T86" s="1" t="str">
        <x:f>IF('Setup'!$B$22&gt;0,"",IF(C86=0,IF(L86&gt;'Setup'!$B$7,"Backlog on closed day","Closed"),IF(OR(V86&gt;0,W86&gt;0),"Resolve staffing limits",IF(U86&gt;0,"Resolve physical limit",IF(L86&gt;'Setup'!$B$7,"Close labor capacity gap",IF(L86&gt;0,"Backlog below threshold","Within daily capacity"))))))</x:f>
        <x:v>Resolve physical limit</x:v>
      </x:c>
      <x:c r="U86" s="1" t="n">
        <x:f>IF('Setup'!$B$22&gt;0,"",IF(C86=0,0,MAX(0,F86-INT(MIN('Capacity'!M111:M113)))))</x:f>
        <x:v>238237</x:v>
      </x:c>
      <x:c r="V86" s="1" t="n">
        <x:f>IF('Setup'!$B$22&gt;0,"",SUM('Capacity'!T111:T113)*C86)</x:f>
        <x:v>0</x:v>
      </x:c>
      <x:c r="W86" s="1" t="n">
        <x:f>IF('Setup'!$B$22&gt;0,"",SUM('Capacity'!W111:W113)*C86)</x:f>
        <x:v>0</x:v>
      </x:c>
    </x:row>
    <x:row r="87" ht="23" customHeight="1">
      <x:c r="A87" s="20" t="n">
        <x:f>IF('Setup'!$B$22&gt;0,"",'Demand'!A87)</x:f>
        <x:v>46381</x:v>
      </x:c>
      <x:c r="B87" s="1" t="n">
        <x:f>IF('Setup'!$B$22&gt;0,"",'Demand'!B87)</x:f>
        <x:v>12</x:v>
      </x:c>
      <x:c r="C87" s="1" t="n">
        <x:f>IF('Setup'!$B$22&gt;0,"",'Demand'!C87)</x:f>
        <x:v>1</x:v>
      </x:c>
      <x:c r="D87" s="24" t="n">
        <x:f>IF('Setup'!$B$22&gt;0,"",ROUND('Demand'!D87*'Setup'!B19,0))</x:f>
        <x:v>7150</x:v>
      </x:c>
      <x:c r="E87" s="24" t="n">
        <x:f>IF('Setup'!$B$22&gt;0,"",L86)</x:f>
        <x:v>238421</x:v>
      </x:c>
      <x:c r="F87" s="24" t="n">
        <x:f>IF('Setup'!$B$22&gt;0,"",D87+E87)</x:f>
        <x:v>245571</x:v>
      </x:c>
      <x:c r="G87" s="24" t="n">
        <x:f>IF('Setup'!$B$22&gt;0,"",'Capacity'!N111*C87)</x:f>
        <x:v>7125</x:v>
      </x:c>
      <x:c r="H87" s="24" t="n">
        <x:f>IF('Setup'!$B$22&gt;0,"",'Capacity'!N112*C87)</x:f>
        <x:v>6718</x:v>
      </x:c>
      <x:c r="I87" s="24" t="n">
        <x:f>IF('Setup'!$B$22&gt;0,"",'Capacity'!N113*C87)</x:f>
        <x:v>6616</x:v>
      </x:c>
      <x:c r="J87" s="24" t="n">
        <x:f>IF('Setup'!$B$22&gt;0,"",MIN(G87:I87))</x:f>
        <x:v>6616</x:v>
      </x:c>
      <x:c r="K87" s="24" t="n">
        <x:f>IF('Setup'!$B$22&gt;0,"",MIN(F87,J87))</x:f>
        <x:v>6616</x:v>
      </x:c>
      <x:c r="L87" s="24" t="n">
        <x:f>IF('Setup'!$B$22&gt;0,"",MAX(0,F87-K87))</x:f>
        <x:v>238955</x:v>
      </x:c>
      <x:c r="M87" s="23" t="n">
        <x:f>IF('Setup'!$B$22&gt;0,"",IF(J87=0,0,K87/J87))</x:f>
        <x:v>1</x:v>
      </x:c>
      <x:c r="N87" s="25" t="n">
        <x:f>IF('Setup'!$B$22&gt;0,"",SUM('Capacity'!Z111:Z113)*C87)</x:f>
        <x:v>10704.48</x:v>
      </x:c>
      <x:c r="O87" s="25" t="n">
        <x:f>IF('Setup'!$B$22&gt;0,"",SUM('Capacity'!Q111:Q113)*C87)</x:f>
        <x:v>1879.1999999999998</x:v>
      </x:c>
      <x:c r="P87" s="1" t="str">
        <x:f>IF('Setup'!$B$22&gt;0,"",IF(C87=0,"Closed",INDEX('Processes'!$A$6:$A$8,MATCH(J87,G87:I87,0))))</x:f>
        <x:v>Ship</x:v>
      </x:c>
      <x:c r="Q87" s="1" t="n">
        <x:f>IF('Setup'!$B$22&gt;0,"",IF(C87=0,0,MAX(0,ROUNDUP(F87/'Capacity'!X111-'Capacity'!Y111,0)-'Capacity'!G111)))</x:f>
        <x:v>938</x:v>
      </x:c>
      <x:c r="R87" s="1" t="n">
        <x:f>IF('Setup'!$B$22&gt;0,"",IF(C87=0,0,MAX(0,ROUNDUP(F87/'Capacity'!X112-'Capacity'!Y112,0)-'Capacity'!G112)))</x:f>
        <x:v>783</x:v>
      </x:c>
      <x:c r="S87" s="1" t="n">
        <x:f>IF('Setup'!$B$22&gt;0,"",IF(C87=0,0,MAX(0,ROUNDUP(F87/'Capacity'!X113-'Capacity'!Y113,0)-'Capacity'!G113)))</x:f>
        <x:v>470</x:v>
      </x:c>
      <x:c r="T87" s="1" t="str">
        <x:f>IF('Setup'!$B$22&gt;0,"",IF(C87=0,IF(L87&gt;'Setup'!$B$7,"Backlog on closed day","Closed"),IF(OR(V87&gt;0,W87&gt;0),"Resolve staffing limits",IF(U87&gt;0,"Resolve physical limit",IF(L87&gt;'Setup'!$B$7,"Close labor capacity gap",IF(L87&gt;0,"Backlog below threshold","Within daily capacity"))))))</x:f>
        <x:v>Resolve physical limit</x:v>
      </x:c>
      <x:c r="U87" s="1" t="n">
        <x:f>IF('Setup'!$B$22&gt;0,"",IF(C87=0,0,MAX(0,F87-INT(MIN('Capacity'!M111:M113)))))</x:f>
        <x:v>238771</x:v>
      </x:c>
      <x:c r="V87" s="1" t="n">
        <x:f>IF('Setup'!$B$22&gt;0,"",SUM('Capacity'!T111:T113)*C87)</x:f>
        <x:v>0</x:v>
      </x:c>
      <x:c r="W87" s="1" t="n">
        <x:f>IF('Setup'!$B$22&gt;0,"",SUM('Capacity'!W111:W113)*C87)</x:f>
        <x:v>0</x:v>
      </x:c>
    </x:row>
    <x:row r="88" ht="23" customHeight="1">
      <x:c r="A88" s="20" t="n">
        <x:f>IF('Setup'!$B$22&gt;0,"",'Demand'!A88)</x:f>
        <x:v>46382</x:v>
      </x:c>
      <x:c r="B88" s="1" t="n">
        <x:f>IF('Setup'!$B$22&gt;0,"",'Demand'!B88)</x:f>
        <x:v>12</x:v>
      </x:c>
      <x:c r="C88" s="1" t="n">
        <x:f>IF('Setup'!$B$22&gt;0,"",'Demand'!C88)</x:f>
        <x:v>0</x:v>
      </x:c>
      <x:c r="D88" s="24" t="n">
        <x:f>IF('Setup'!$B$22&gt;0,"",ROUND('Demand'!D88*'Setup'!B19,0))</x:f>
        <x:v>0</x:v>
      </x:c>
      <x:c r="E88" s="24" t="n">
        <x:f>IF('Setup'!$B$22&gt;0,"",L87)</x:f>
        <x:v>238955</x:v>
      </x:c>
      <x:c r="F88" s="24" t="n">
        <x:f>IF('Setup'!$B$22&gt;0,"",D88+E88)</x:f>
        <x:v>238955</x:v>
      </x:c>
      <x:c r="G88" s="24" t="n">
        <x:f>IF('Setup'!$B$22&gt;0,"",'Capacity'!N111*C88)</x:f>
        <x:v>0</x:v>
      </x:c>
      <x:c r="H88" s="24" t="n">
        <x:f>IF('Setup'!$B$22&gt;0,"",'Capacity'!N112*C88)</x:f>
        <x:v>0</x:v>
      </x:c>
      <x:c r="I88" s="24" t="n">
        <x:f>IF('Setup'!$B$22&gt;0,"",'Capacity'!N113*C88)</x:f>
        <x:v>0</x:v>
      </x:c>
      <x:c r="J88" s="24" t="n">
        <x:f>IF('Setup'!$B$22&gt;0,"",MIN(G88:I88))</x:f>
        <x:v>0</x:v>
      </x:c>
      <x:c r="K88" s="24" t="n">
        <x:f>IF('Setup'!$B$22&gt;0,"",MIN(F88,J88))</x:f>
        <x:v>0</x:v>
      </x:c>
      <x:c r="L88" s="24" t="n">
        <x:f>IF('Setup'!$B$22&gt;0,"",MAX(0,F88-K88))</x:f>
        <x:v>238955</x:v>
      </x:c>
      <x:c r="M88" s="23" t="n">
        <x:f>IF('Setup'!$B$22&gt;0,"",IF(J88=0,0,K88/J88))</x:f>
        <x:v>0</x:v>
      </x:c>
      <x:c r="N88" s="25" t="n">
        <x:f>IF('Setup'!$B$22&gt;0,"",SUM('Capacity'!Z111:Z113)*C88)</x:f>
        <x:v>0</x:v>
      </x:c>
      <x:c r="O88" s="25" t="n">
        <x:f>IF('Setup'!$B$22&gt;0,"",SUM('Capacity'!Q111:Q113)*C88)</x:f>
        <x:v>0</x:v>
      </x:c>
      <x:c r="P88" s="1" t="str">
        <x:f>IF('Setup'!$B$22&gt;0,"",IF(C88=0,"Closed",INDEX('Processes'!$A$6:$A$8,MATCH(J88,G88:I88,0))))</x:f>
        <x:v>Closed</x:v>
      </x:c>
      <x:c r="Q88" s="1" t="n">
        <x:f>IF('Setup'!$B$22&gt;0,"",IF(C88=0,0,MAX(0,ROUNDUP(F88/'Capacity'!X111-'Capacity'!Y111,0)-'Capacity'!G111)))</x:f>
        <x:v>0</x:v>
      </x:c>
      <x:c r="R88" s="1" t="n">
        <x:f>IF('Setup'!$B$22&gt;0,"",IF(C88=0,0,MAX(0,ROUNDUP(F88/'Capacity'!X112-'Capacity'!Y112,0)-'Capacity'!G112)))</x:f>
        <x:v>0</x:v>
      </x:c>
      <x:c r="S88" s="1" t="n">
        <x:f>IF('Setup'!$B$22&gt;0,"",IF(C88=0,0,MAX(0,ROUNDUP(F88/'Capacity'!X113-'Capacity'!Y113,0)-'Capacity'!G113)))</x:f>
        <x:v>0</x:v>
      </x:c>
      <x:c r="T88" s="1" t="str">
        <x:f>IF('Setup'!$B$22&gt;0,"",IF(C88=0,IF(L88&gt;'Setup'!$B$7,"Backlog on closed day","Closed"),IF(OR(V88&gt;0,W88&gt;0),"Resolve staffing limits",IF(U88&gt;0,"Resolve physical limit",IF(L88&gt;'Setup'!$B$7,"Close labor capacity gap",IF(L88&gt;0,"Backlog below threshold","Within daily capacity"))))))</x:f>
        <x:v>Backlog on closed day</x:v>
      </x:c>
      <x:c r="U88" s="1" t="n">
        <x:f>IF('Setup'!$B$22&gt;0,"",IF(C88=0,0,MAX(0,F88-INT(MIN('Capacity'!M111:M113)))))</x:f>
        <x:v>0</x:v>
      </x:c>
      <x:c r="V88" s="1" t="n">
        <x:f>IF('Setup'!$B$22&gt;0,"",SUM('Capacity'!T111:T113)*C88)</x:f>
        <x:v>0</x:v>
      </x:c>
      <x:c r="W88" s="1" t="n">
        <x:f>IF('Setup'!$B$22&gt;0,"",SUM('Capacity'!W111:W113)*C88)</x:f>
        <x:v>0</x:v>
      </x:c>
    </x:row>
    <x:row r="89" ht="23" customHeight="1">
      <x:c r="A89" s="20" t="n">
        <x:f>IF('Setup'!$B$22&gt;0,"",'Demand'!A89)</x:f>
        <x:v>46383</x:v>
      </x:c>
      <x:c r="B89" s="1" t="n">
        <x:f>IF('Setup'!$B$22&gt;0,"",'Demand'!B89)</x:f>
        <x:v>12</x:v>
      </x:c>
      <x:c r="C89" s="1" t="n">
        <x:f>IF('Setup'!$B$22&gt;0,"",'Demand'!C89)</x:f>
        <x:v>0</x:v>
      </x:c>
      <x:c r="D89" s="24" t="n">
        <x:f>IF('Setup'!$B$22&gt;0,"",ROUND('Demand'!D89*'Setup'!B19,0))</x:f>
        <x:v>0</x:v>
      </x:c>
      <x:c r="E89" s="24" t="n">
        <x:f>IF('Setup'!$B$22&gt;0,"",L88)</x:f>
        <x:v>238955</x:v>
      </x:c>
      <x:c r="F89" s="24" t="n">
        <x:f>IF('Setup'!$B$22&gt;0,"",D89+E89)</x:f>
        <x:v>238955</x:v>
      </x:c>
      <x:c r="G89" s="24" t="n">
        <x:f>IF('Setup'!$B$22&gt;0,"",'Capacity'!N111*C89)</x:f>
        <x:v>0</x:v>
      </x:c>
      <x:c r="H89" s="24" t="n">
        <x:f>IF('Setup'!$B$22&gt;0,"",'Capacity'!N112*C89)</x:f>
        <x:v>0</x:v>
      </x:c>
      <x:c r="I89" s="24" t="n">
        <x:f>IF('Setup'!$B$22&gt;0,"",'Capacity'!N113*C89)</x:f>
        <x:v>0</x:v>
      </x:c>
      <x:c r="J89" s="24" t="n">
        <x:f>IF('Setup'!$B$22&gt;0,"",MIN(G89:I89))</x:f>
        <x:v>0</x:v>
      </x:c>
      <x:c r="K89" s="24" t="n">
        <x:f>IF('Setup'!$B$22&gt;0,"",MIN(F89,J89))</x:f>
        <x:v>0</x:v>
      </x:c>
      <x:c r="L89" s="24" t="n">
        <x:f>IF('Setup'!$B$22&gt;0,"",MAX(0,F89-K89))</x:f>
        <x:v>238955</x:v>
      </x:c>
      <x:c r="M89" s="23" t="n">
        <x:f>IF('Setup'!$B$22&gt;0,"",IF(J89=0,0,K89/J89))</x:f>
        <x:v>0</x:v>
      </x:c>
      <x:c r="N89" s="25" t="n">
        <x:f>IF('Setup'!$B$22&gt;0,"",SUM('Capacity'!Z111:Z113)*C89)</x:f>
        <x:v>0</x:v>
      </x:c>
      <x:c r="O89" s="25" t="n">
        <x:f>IF('Setup'!$B$22&gt;0,"",SUM('Capacity'!Q111:Q113)*C89)</x:f>
        <x:v>0</x:v>
      </x:c>
      <x:c r="P89" s="1" t="str">
        <x:f>IF('Setup'!$B$22&gt;0,"",IF(C89=0,"Closed",INDEX('Processes'!$A$6:$A$8,MATCH(J89,G89:I89,0))))</x:f>
        <x:v>Closed</x:v>
      </x:c>
      <x:c r="Q89" s="1" t="n">
        <x:f>IF('Setup'!$B$22&gt;0,"",IF(C89=0,0,MAX(0,ROUNDUP(F89/'Capacity'!X111-'Capacity'!Y111,0)-'Capacity'!G111)))</x:f>
        <x:v>0</x:v>
      </x:c>
      <x:c r="R89" s="1" t="n">
        <x:f>IF('Setup'!$B$22&gt;0,"",IF(C89=0,0,MAX(0,ROUNDUP(F89/'Capacity'!X112-'Capacity'!Y112,0)-'Capacity'!G112)))</x:f>
        <x:v>0</x:v>
      </x:c>
      <x:c r="S89" s="1" t="n">
        <x:f>IF('Setup'!$B$22&gt;0,"",IF(C89=0,0,MAX(0,ROUNDUP(F89/'Capacity'!X113-'Capacity'!Y113,0)-'Capacity'!G113)))</x:f>
        <x:v>0</x:v>
      </x:c>
      <x:c r="T89" s="1" t="str">
        <x:f>IF('Setup'!$B$22&gt;0,"",IF(C89=0,IF(L89&gt;'Setup'!$B$7,"Backlog on closed day","Closed"),IF(OR(V89&gt;0,W89&gt;0),"Resolve staffing limits",IF(U89&gt;0,"Resolve physical limit",IF(L89&gt;'Setup'!$B$7,"Close labor capacity gap",IF(L89&gt;0,"Backlog below threshold","Within daily capacity"))))))</x:f>
        <x:v>Backlog on closed day</x:v>
      </x:c>
      <x:c r="U89" s="1" t="n">
        <x:f>IF('Setup'!$B$22&gt;0,"",IF(C89=0,0,MAX(0,F89-INT(MIN('Capacity'!M111:M113)))))</x:f>
        <x:v>0</x:v>
      </x:c>
      <x:c r="V89" s="1" t="n">
        <x:f>IF('Setup'!$B$22&gt;0,"",SUM('Capacity'!T111:T113)*C89)</x:f>
        <x:v>0</x:v>
      </x:c>
      <x:c r="W89" s="1" t="n">
        <x:f>IF('Setup'!$B$22&gt;0,"",SUM('Capacity'!W111:W113)*C89)</x:f>
        <x:v>0</x:v>
      </x:c>
    </x:row>
    <x:row r="90" ht="23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 ht="23" customHeight="1">
      <x:c r="A91" s="1" t="str">
        <x:v>Extra trained heads are a same-day arithmetic gap at the current OT setting. They ignore recruiting lead time and can exceed workstation or physical limits.</x:v>
      </x:c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 ht="23" customHeight="1">
      <x:c r="A92" s="1" t="str">
        <x:v>When constraints tie, Limiting stage shows the first stage. Capacity used is completions divided by modeled flow capacity; closed/zero-capacity days display 0%.</x:v>
      </x:c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 ht="23" customHeight="1">
      <x:c r="A93" s="1" t="str">
        <x:v>Fractional expected attendance is used for planning. Capacity is floored to whole orders per stage per day; this is not a labor roster or shipment promise.</x:v>
      </x:c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 ht="23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 ht="23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</x:sheetData>
  <x:conditionalFormatting sqref="L6:L89">
    <x:cfRule type="cellIs" dxfId="10" priority="1" operator="greaterThan">
      <x:formula>0</x:formula>
    </x:cfRule>
  </x:conditionalFormatting>
  <x:conditionalFormatting sqref="U6:W89">
    <x:cfRule type="cellIs" dxfId="11" priority="2" operator="greaterThan">
      <x:formula>0</x:formula>
    </x:cfRule>
  </x:conditionalFormatting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2" hidden="0" customWidth="1"/>
    <x:col min="2" max="2" width="16" hidden="0" customWidth="1"/>
  </x:cols>
  <x:sheetData>
    <x:row r="1" ht="31" customHeight="1">
      <x:c r="A1" s="2" t="str">
        <x:v>Model method</x:v>
      </x:c>
      <x:c r="B1" s="1"/>
    </x:row>
    <x:row r="2" ht="23" customHeight="1">
      <x:c r="A2" s="3" t="str">
        <x:v>Definitions, scope and operating decisions</x:v>
      </x:c>
      <x:c r="B2" s="1"/>
    </x:row>
    <x:row r="3" ht="23" customHeight="1">
      <x:c r="A3" s="4"/>
      <x:c r="B3" s="4"/>
    </x:row>
    <x:row r="4" ht="23" customHeight="1">
      <x:c r="A4" s="1"/>
      <x:c r="B4" s="1"/>
    </x:row>
    <x:row r="5" ht="43" customHeight="1">
      <x:c r="A5" s="14" t="str">
        <x:v>Purpose: compare a proposed staffing plan with daily released orders across 84 days. This is a deterministic planning model for a service-assisted review.</x:v>
      </x:c>
      <x:c r="B5" s="1"/>
    </x:row>
    <x:row r="6" ht="43" customHeight="1">
      <x:c r="A6" s="14" t="str">
        <x:v>Scope: one building and one sequential outbound order flow through three configurable stages. Every order requires each stage. Mixed order types must be reduced to documented weighted workload units/order.</x:v>
      </x:c>
      <x:c r="B6" s="1"/>
    </x:row>
    <x:row r="7" ht="43" customHeight="1">
      <x:c r="A7" s="14" t="str">
        <x:v>Demand: daily base orders × scenario demand factor, rounded to whole orders. Demand may arrive on a closed day. Existing backlog enters the first day and remaining backlog carries forward.</x:v>
      </x:c>
      <x:c r="B7" s="1"/>
    </x:row>
    <x:row r="8" ht="43" customHeight="1">
      <x:c r="A8" s="14" t="str">
        <x:v>Productive hours: direct working time per attending person after breaks, meetings and downtime. The units/productive-hour rate must use the same denominator. Do not enter a paid-hour rate and reduce productive hours again.</x:v>
      </x:c>
      <x:c r="B8" s="1"/>
    </x:row>
    <x:row r="9" ht="43" customHeight="1">
      <x:c r="A9" s="14" t="str">
        <x:v>Attendance: 1 minus baseline absence minus scenario absence increase. Apply once to expected hours and cost. Absence includes unplanned nonattendance; do not also reduce trained headcount for the same people.</x:v>
      </x:c>
      <x:c r="B9" s="1"/>
    </x:row>
    <x:row r="10" ht="43" customHeight="1">
      <x:c r="A10" s="14" t="str">
        <x:v>Learning: one new-hire cohort per stage starts at the beginning of a plan week. The editable five-step tenure curve scales their output rate once. Do not also reduce productive hours for the same learning effect.</x:v>
      </x:c>
      <x:c r="B10" s="1"/>
    </x:row>
    <x:row r="11" ht="43" customHeight="1">
      <x:c r="A11" s="14" t="str">
        <x:v>Staff deployment: established workers use parallel worker slots first; cohort workers fill remaining slots. This is a conservative allocation convention. Planned workers exceeding the limit produce no output but still incur expected labor cost.</x:v>
      </x:c>
      <x:c r="B11" s="1"/>
    </x:row>
    <x:row r="12" ht="43" customHeight="1">
      <x:c r="A12" s="14" t="str">
        <x:v>Overtime: scheduled paid OT per attending worker/day is capped at the process maximum. OT productive share converts paid OT hours to productive hours. New hires retain their tenure rate on overtime.</x:v>
      </x:c>
      <x:c r="B12" s="1"/>
    </x:row>
    <x:row r="13" ht="43" customHeight="1">
      <x:c r="A13" s="14" t="str">
        <x:v>Process labor capacity = (deployed trained + deployed cohort × ramp) × attendance × (regular productive hours + applied OT × OT productive share) × stage rate × scenario rate factor ÷ units/order.</x:v>
      </x:c>
      <x:c r="B13" s="1"/>
    </x:row>
    <x:row r="14" ht="43" customHeight="1">
      <x:c r="A14" s="14" t="str">
        <x:v>Process usable capacity = floor(minimum of labor capacity and physical orders/day × scenario physical factor). Flow capacity is the minimum of all three process capacities. Closed days have zero capacity.</x:v>
      </x:c>
      <x:c r="B14" s="1"/>
    </x:row>
    <x:row r="15" ht="43" customHeight="1">
      <x:c r="A15" s="14" t="str">
        <x:v>Daily completions = minimum of available orders and flow capacity. Closing backlog = opening backlog + arrivals − completions. All backlog represents orders still needing the full flow, not stage-level work in progress.</x:v>
      </x:c>
      <x:c r="B15" s="1"/>
    </x:row>
    <x:row r="16" ht="43" customHeight="1">
      <x:c r="A16" s="14" t="str">
        <x:v>The same-day flow approximation assumes stages can operate in parallel with sufficient operating windows and feed. It does not simulate within-day travel, wave timing, cutoffs, work-in-progress queues, replenishment or material starvation.</x:v>
      </x:c>
      <x:c r="B16" s="1"/>
    </x:row>
    <x:row r="17" ht="43" customHeight="1">
      <x:c r="A17" s="14" t="str">
        <x:v>Labor cost: all planned established and active cohort heads × expected attendance × regular paid hours × hourly cost, plus applied OT paid at the entered multiple. Absentees are assumed unpaid. Closed days incur no modeled cost.</x:v>
      </x:c>
      <x:c r="B17" s="1"/>
    </x:row>
    <x:row r="18" ht="43" customHeight="1">
      <x:c r="A18" s="14" t="str">
        <x:v>Incremental labor cost compares the scenario’s plan to the same scenario’s baseline established headcount, regular hours and attendance. It includes added/reduced established labor, cohort wages and OT. It is not profit, ROI or savings.</x:v>
      </x:c>
      <x:c r="B18" s="1"/>
    </x:row>
    <x:row r="19" ht="43" customHeight="1">
      <x:c r="A19" s="14" t="str">
        <x:v>Extra trained heads: whole established workers needed to clear all currently available orders that day at current OT, less deployed established heads. This is an arithmetic gap, not an approved hiring recommendation; it can exceed physical/worker limits.</x:v>
      </x:c>
      <x:c r="B19" s="1"/>
    </x:row>
    <x:row r="20" ht="43" customHeight="1">
      <x:c r="A20" s="14" t="str">
        <x:v>Action order: first resolve excess headcount or OT requests, then physical capacity shortfall, then labor gap above the backlog threshold. Review all numeric columns because more than one constraint can apply.</x:v>
      </x:c>
      <x:c r="B20" s="1"/>
    </x:row>
    <x:row r="21" ht="43" customHeight="1">
      <x:c r="A21" s="14" t="str">
        <x:v>Threshold: the operator selects the backlog level that requires action. It is not a statistical confidence score or a customer SLA. Closed-day backlog may trigger attention even when the closure is intentional.</x:v>
      </x:c>
      <x:c r="B21" s="1"/>
    </x:row>
    <x:row r="22" ht="43" customHeight="1">
      <x:c r="A22" s="14" t="str">
        <x:v>Physical feasibility: confirm equipment, workstation, storage, dock/carrier, inventory and building constraints with the operator. An unverified physical ceiling is an assumption to label and validate before recommendations.</x:v>
      </x:c>
      <x:c r="B22" s="1"/>
    </x:row>
    <x:row r="23" ht="43" customHeight="1">
      <x:c r="A23" s="14" t="str">
        <x:v>Input checks suppress outputs for missing numeric fields and invalid ranges. They do not verify source accuracy. Blank means missing; explicit 0 means none. Overtime above policy is capped and separately flagged.</x:v>
      </x:c>
      <x:c r="B23" s="1"/>
    </x:row>
    <x:row r="24" ht="43" customHeight="1">
      <x:c r="A24" s="14" t="str">
        <x:v>Interpretation limits: no intraday service guarantee, random variability, shift roster, skill transfers, cross-stage labor sharing, inbound/returns model, simulation, payroll calculation, optimization, WMS integration or automated decision execution.</x:v>
      </x:c>
      <x:c r="B24" s="1"/>
    </x:row>
    <x:row r="25" ht="43" customHeight="1">
      <x:c r="A25" s="14" t="str">
        <x:v>Client workflow: receive completed CSVs; reconcile one historic day; agree scenarios and rate basis; review constraints with the operator; build the seasonal model; discuss actions and owners; perform one agreed revision.</x:v>
      </x:c>
      <x:c r="B25" s="1"/>
    </x:row>
    <x:row r="26" ht="43" customHeight="1">
      <x:c r="A26" s="14" t="str">
        <x:v>Demonstration source: all values in this workbook are synthetic author assumptions. The business scope follows the user’s DC Health Check / Peak Readiness launch brief and the 2026-09-04 SideHustle white paper. No external benchmark rates or results are claimed.</x:v>
      </x:c>
      <x:c r="B26" s="1"/>
    </x:row>
    <x:row r="27" ht="43" customHeight="1">
      <x:c r="A27" s="14" t="str">
        <x:v>Maintenance: save a client-named copy; replace the synthetic values; retain data source/date notes; open in Microsoft Excel and review recalculated results. Keep the master demonstration unchanged for sales calls.</x:v>
      </x:c>
      <x:c r="B27" s="1"/>
    </x:row>
    <x:row r="28" ht="43" customHeight="1">
      <x:c r="A28" s="14" t="str">
        <x:v>Data minimization: provide aggregate operational quantities only. Names, personal worker records, customer addresses, order IDs and employee identifiers are not required.</x:v>
      </x:c>
      <x:c r="B28" s="1"/>
    </x:row>
    <x:row r="29" ht="43" customHeight="1">
      <x:c r="A29" s="14" t="str">
        <x:v>Cost exclusions: recruiting, agency setup fees, severance, benefits not included in the hourly input, equipment, facility rent, revenue, order value, late penalties and tax are outside the calculated labor costs.</x:v>
      </x:c>
      <x:c r="B29" s="1"/>
    </x:row>
    <x:row r="30" ht="23" customHeight="1">
      <x:c r="A30" s="1"/>
      <x:c r="B30" s="1"/>
    </x:row>
    <x:row r="31" ht="23" customHeight="1">
      <x:c r="A31" s="1"/>
      <x:c r="B31" s="1"/>
    </x:row>
    <x:row r="32" ht="23" customHeight="1">
      <x:c r="A32" s="1"/>
      <x:c r="B32" s="1"/>
    </x:row>
    <x:row r="33" ht="23" customHeight="1">
      <x:c r="A33" s="1"/>
      <x:c r="B33" s="1"/>
    </x:row>
    <x:row r="34" ht="23" customHeight="1">
      <x:c r="A34" s="1"/>
      <x:c r="B34" s="1"/>
    </x:row>
    <x:row r="35" ht="23" customHeight="1">
      <x:c r="A35" s="1"/>
      <x:c r="B35" s="1"/>
    </x:row>
  </x:sheetData>
  <x:pageMargins left="0.7" right="0.7" top="0.75" bottom="0.75" header="0.3" footer="0.3"/>
</x:worksheet>
</file>